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ryanscheffer/Downloads/"/>
    </mc:Choice>
  </mc:AlternateContent>
  <xr:revisionPtr revIDLastSave="0" documentId="13_ncr:1_{59DB2518-3FA5-F64A-A54B-B81D216EF5B7}" xr6:coauthVersionLast="47" xr6:coauthVersionMax="47" xr10:uidLastSave="{00000000-0000-0000-0000-000000000000}"/>
  <bookViews>
    <workbookView xWindow="7160" yWindow="760" windowWidth="27400" windowHeight="21580" xr2:uid="{00000000-000D-0000-FFFF-FFFF00000000}"/>
  </bookViews>
  <sheets>
    <sheet name="Force Rank" sheetId="11" r:id="rId1"/>
    <sheet name="Current Month By Brand" sheetId="1" r:id="rId2"/>
    <sheet name="WORKSHEET" sheetId="2" state="hidden" r:id="rId3"/>
    <sheet name="KEY" sheetId="13" state="hidden" r:id="rId4"/>
  </sheets>
  <definedNames>
    <definedName name="_xlnm.Print_Area" localSheetId="1">'Current Month By Brand'!$C$1:$O$103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3" l="1"/>
  <c r="G19" i="13"/>
  <c r="G20" i="13"/>
  <c r="G21" i="13"/>
  <c r="G22" i="13"/>
  <c r="G23" i="13"/>
  <c r="G24" i="13"/>
  <c r="G25" i="13"/>
  <c r="G26" i="13"/>
  <c r="E28" i="13"/>
  <c r="E29" i="13"/>
  <c r="M229" i="2" s="1"/>
  <c r="E30" i="13"/>
  <c r="E31" i="13"/>
  <c r="E32" i="13"/>
  <c r="M298" i="2" s="1"/>
  <c r="E33" i="13"/>
  <c r="M299" i="2" s="1"/>
  <c r="E34" i="13"/>
  <c r="M300" i="2" s="1"/>
  <c r="E35" i="13"/>
  <c r="M301" i="2" s="1"/>
  <c r="E36" i="13"/>
  <c r="M104" i="2" s="1"/>
  <c r="E37" i="13"/>
  <c r="M105" i="2" s="1"/>
  <c r="E38" i="13"/>
  <c r="E39" i="13"/>
  <c r="M239" i="2" s="1"/>
  <c r="E40" i="13"/>
  <c r="E41" i="13"/>
  <c r="E42" i="13"/>
  <c r="M308" i="2" s="1"/>
  <c r="E43" i="13"/>
  <c r="M309" i="2" s="1"/>
  <c r="E44" i="13"/>
  <c r="M310" i="2" s="1"/>
  <c r="E45" i="13"/>
  <c r="M311" i="2" s="1"/>
  <c r="E46" i="13"/>
  <c r="M114" i="2" s="1"/>
  <c r="E47" i="13"/>
  <c r="M115" i="2" s="1"/>
  <c r="E48" i="13"/>
  <c r="E49" i="13"/>
  <c r="M249" i="2" s="1"/>
  <c r="E50" i="13"/>
  <c r="E51" i="13"/>
  <c r="E52" i="13"/>
  <c r="M318" i="2" s="1"/>
  <c r="E53" i="13"/>
  <c r="M319" i="2" s="1"/>
  <c r="E54" i="13"/>
  <c r="M320" i="2" s="1"/>
  <c r="E55" i="13"/>
  <c r="M321" i="2" s="1"/>
  <c r="E56" i="13"/>
  <c r="M124" i="2" s="1"/>
  <c r="E57" i="13"/>
  <c r="M125" i="2" s="1"/>
  <c r="M322" i="2"/>
  <c r="M317" i="2"/>
  <c r="M316" i="2"/>
  <c r="M315" i="2"/>
  <c r="M314" i="2"/>
  <c r="M312" i="2"/>
  <c r="M307" i="2"/>
  <c r="M306" i="2"/>
  <c r="M305" i="2"/>
  <c r="M304" i="2"/>
  <c r="M302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324" i="2"/>
  <c r="M253" i="2"/>
  <c r="M252" i="2"/>
  <c r="M251" i="2"/>
  <c r="M250" i="2"/>
  <c r="M248" i="2"/>
  <c r="M243" i="2"/>
  <c r="M242" i="2"/>
  <c r="M241" i="2"/>
  <c r="M240" i="2"/>
  <c r="M238" i="2"/>
  <c r="M234" i="2"/>
  <c r="M233" i="2"/>
  <c r="M232" i="2"/>
  <c r="M231" i="2"/>
  <c r="M230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58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92" i="2"/>
  <c r="M189" i="2"/>
  <c r="M188" i="2"/>
  <c r="M187" i="2"/>
  <c r="M186" i="2"/>
  <c r="M185" i="2"/>
  <c r="M184" i="2"/>
  <c r="M183" i="2"/>
  <c r="M182" i="2"/>
  <c r="M179" i="2"/>
  <c r="M178" i="2"/>
  <c r="M177" i="2"/>
  <c r="M176" i="2"/>
  <c r="M175" i="2"/>
  <c r="M174" i="2"/>
  <c r="M173" i="2"/>
  <c r="M172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92" i="2"/>
  <c r="M122" i="2"/>
  <c r="M121" i="2"/>
  <c r="M120" i="2"/>
  <c r="M119" i="2"/>
  <c r="L119" i="2" s="1"/>
  <c r="M118" i="2"/>
  <c r="M117" i="2"/>
  <c r="L117" i="2" s="1"/>
  <c r="M116" i="2"/>
  <c r="M112" i="2"/>
  <c r="M111" i="2"/>
  <c r="M110" i="2"/>
  <c r="M109" i="2"/>
  <c r="L109" i="2" s="1"/>
  <c r="M108" i="2"/>
  <c r="M107" i="2"/>
  <c r="M106" i="2"/>
  <c r="M102" i="2"/>
  <c r="L102" i="2" s="1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126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60" i="2"/>
  <c r="M57" i="2"/>
  <c r="M56" i="2"/>
  <c r="M55" i="2"/>
  <c r="M54" i="2"/>
  <c r="M53" i="2"/>
  <c r="M52" i="2"/>
  <c r="M51" i="2"/>
  <c r="M50" i="2"/>
  <c r="M47" i="2"/>
  <c r="M46" i="2"/>
  <c r="M45" i="2"/>
  <c r="M44" i="2"/>
  <c r="M43" i="2"/>
  <c r="M42" i="2"/>
  <c r="M41" i="2"/>
  <c r="M40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60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324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58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136" i="2"/>
  <c r="T70" i="2"/>
  <c r="T4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L305" i="2" s="1"/>
  <c r="N304" i="2"/>
  <c r="L304" i="2" s="1"/>
  <c r="N303" i="2"/>
  <c r="N302" i="2"/>
  <c r="N301" i="2"/>
  <c r="N300" i="2"/>
  <c r="N299" i="2"/>
  <c r="N298" i="2"/>
  <c r="N297" i="2"/>
  <c r="N296" i="2"/>
  <c r="N295" i="2"/>
  <c r="L295" i="2" s="1"/>
  <c r="N294" i="2"/>
  <c r="N293" i="2"/>
  <c r="N292" i="2"/>
  <c r="N291" i="2"/>
  <c r="L291" i="2" s="1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L274" i="2" s="1"/>
  <c r="N273" i="2"/>
  <c r="N272" i="2"/>
  <c r="N271" i="2"/>
  <c r="N270" i="2"/>
  <c r="N269" i="2"/>
  <c r="N268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L164" i="2" s="1"/>
  <c r="N163" i="2"/>
  <c r="N162" i="2"/>
  <c r="N161" i="2"/>
  <c r="N160" i="2"/>
  <c r="L160" i="2" s="1"/>
  <c r="N159" i="2"/>
  <c r="N158" i="2"/>
  <c r="N157" i="2"/>
  <c r="N156" i="2"/>
  <c r="N155" i="2"/>
  <c r="N154" i="2"/>
  <c r="N153" i="2"/>
  <c r="N152" i="2"/>
  <c r="L152" i="2" s="1"/>
  <c r="N151" i="2"/>
  <c r="N150" i="2"/>
  <c r="L150" i="2" s="1"/>
  <c r="N149" i="2"/>
  <c r="N148" i="2"/>
  <c r="L148" i="2" s="1"/>
  <c r="N147" i="2"/>
  <c r="N146" i="2"/>
  <c r="N145" i="2"/>
  <c r="N144" i="2"/>
  <c r="N143" i="2"/>
  <c r="N142" i="2"/>
  <c r="N141" i="2"/>
  <c r="N140" i="2"/>
  <c r="N139" i="2"/>
  <c r="N138" i="2"/>
  <c r="L138" i="2" s="1"/>
  <c r="N137" i="2"/>
  <c r="N136" i="2"/>
  <c r="N125" i="2"/>
  <c r="N124" i="2"/>
  <c r="N123" i="2"/>
  <c r="N122" i="2"/>
  <c r="N121" i="2"/>
  <c r="L121" i="2"/>
  <c r="N120" i="2"/>
  <c r="N119" i="2"/>
  <c r="N118" i="2"/>
  <c r="N117" i="2"/>
  <c r="N116" i="2"/>
  <c r="N115" i="2"/>
  <c r="N114" i="2"/>
  <c r="N113" i="2"/>
  <c r="N112" i="2"/>
  <c r="N111" i="2"/>
  <c r="L111" i="2" s="1"/>
  <c r="N110" i="2"/>
  <c r="L110" i="2" s="1"/>
  <c r="N109" i="2"/>
  <c r="N108" i="2"/>
  <c r="N107" i="2"/>
  <c r="N106" i="2"/>
  <c r="N105" i="2"/>
  <c r="N104" i="2"/>
  <c r="N103" i="2"/>
  <c r="N102" i="2"/>
  <c r="N101" i="2"/>
  <c r="L101" i="2"/>
  <c r="N100" i="2"/>
  <c r="L100" i="2" s="1"/>
  <c r="N99" i="2"/>
  <c r="L99" i="2" s="1"/>
  <c r="N98" i="2"/>
  <c r="N97" i="2"/>
  <c r="L97" i="2"/>
  <c r="N96" i="2"/>
  <c r="N95" i="2"/>
  <c r="N94" i="2"/>
  <c r="N93" i="2"/>
  <c r="N92" i="2"/>
  <c r="N91" i="2"/>
  <c r="L91" i="2" s="1"/>
  <c r="N90" i="2"/>
  <c r="N89" i="2"/>
  <c r="L89" i="2" s="1"/>
  <c r="N88" i="2"/>
  <c r="L88" i="2" s="1"/>
  <c r="N87" i="2"/>
  <c r="L87" i="2" s="1"/>
  <c r="N86" i="2"/>
  <c r="N85" i="2"/>
  <c r="N84" i="2"/>
  <c r="N83" i="2"/>
  <c r="N82" i="2"/>
  <c r="N81" i="2"/>
  <c r="N80" i="2"/>
  <c r="L80" i="2" s="1"/>
  <c r="N79" i="2"/>
  <c r="N78" i="2"/>
  <c r="N77" i="2"/>
  <c r="L77" i="2" s="1"/>
  <c r="N76" i="2"/>
  <c r="N75" i="2"/>
  <c r="N74" i="2"/>
  <c r="N73" i="2"/>
  <c r="N72" i="2"/>
  <c r="N71" i="2"/>
  <c r="L71" i="2"/>
  <c r="N70" i="2"/>
  <c r="L70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L20" i="2" s="1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A40" i="13"/>
  <c r="J3" i="13"/>
  <c r="G14" i="13"/>
  <c r="J14" i="13"/>
  <c r="G15" i="13"/>
  <c r="J15" i="13"/>
  <c r="G16" i="13"/>
  <c r="J16" i="13"/>
  <c r="J17" i="13"/>
  <c r="J18" i="13"/>
  <c r="J19" i="13"/>
  <c r="J20" i="13"/>
  <c r="J21" i="13"/>
  <c r="J22" i="13"/>
  <c r="J23" i="13"/>
  <c r="J24" i="13"/>
  <c r="J25" i="13"/>
  <c r="L169" i="2" l="1"/>
  <c r="L60" i="2"/>
  <c r="L324" i="2"/>
  <c r="L82" i="2"/>
  <c r="L92" i="2"/>
  <c r="L192" i="2"/>
  <c r="L301" i="2"/>
  <c r="M323" i="2"/>
  <c r="M244" i="2"/>
  <c r="M254" i="2"/>
  <c r="L254" i="2" s="1"/>
  <c r="M170" i="2"/>
  <c r="L170" i="2" s="1"/>
  <c r="M180" i="2"/>
  <c r="L180" i="2" s="1"/>
  <c r="M190" i="2"/>
  <c r="L190" i="2" s="1"/>
  <c r="M235" i="2"/>
  <c r="L235" i="2" s="1"/>
  <c r="M245" i="2"/>
  <c r="L245" i="2" s="1"/>
  <c r="M255" i="2"/>
  <c r="M171" i="2"/>
  <c r="M181" i="2"/>
  <c r="M191" i="2"/>
  <c r="M236" i="2"/>
  <c r="L236" i="2" s="1"/>
  <c r="M246" i="2"/>
  <c r="L246" i="2" s="1"/>
  <c r="M256" i="2"/>
  <c r="L256" i="2" s="1"/>
  <c r="M303" i="2"/>
  <c r="L303" i="2" s="1"/>
  <c r="L106" i="2"/>
  <c r="L107" i="2"/>
  <c r="L311" i="2"/>
  <c r="L321" i="2"/>
  <c r="L176" i="2"/>
  <c r="M38" i="2"/>
  <c r="M48" i="2"/>
  <c r="M58" i="2"/>
  <c r="M103" i="2"/>
  <c r="L103" i="2" s="1"/>
  <c r="M113" i="2"/>
  <c r="L113" i="2" s="1"/>
  <c r="M123" i="2"/>
  <c r="L123" i="2" s="1"/>
  <c r="M237" i="2"/>
  <c r="M247" i="2"/>
  <c r="L247" i="2" s="1"/>
  <c r="M257" i="2"/>
  <c r="M313" i="2"/>
  <c r="M39" i="2"/>
  <c r="M49" i="2"/>
  <c r="M59" i="2"/>
  <c r="L104" i="2"/>
  <c r="L258" i="2"/>
  <c r="L166" i="2"/>
  <c r="L178" i="2"/>
  <c r="L179" i="2"/>
  <c r="S258" i="2"/>
  <c r="S324" i="2"/>
  <c r="G192" i="2"/>
  <c r="F192" i="2"/>
  <c r="G258" i="2"/>
  <c r="G324" i="2"/>
  <c r="S192" i="2"/>
  <c r="L120" i="2"/>
  <c r="L153" i="2"/>
  <c r="L189" i="2"/>
  <c r="R324" i="2"/>
  <c r="F324" i="2"/>
  <c r="F258" i="2"/>
  <c r="R258" i="2"/>
  <c r="L146" i="2"/>
  <c r="R192" i="2"/>
  <c r="L294" i="2"/>
  <c r="L159" i="2"/>
  <c r="L158" i="2"/>
  <c r="L96" i="2"/>
  <c r="L86" i="2"/>
  <c r="L76" i="2"/>
  <c r="L275" i="2"/>
  <c r="L315" i="2"/>
  <c r="L284" i="2"/>
  <c r="L318" i="2"/>
  <c r="L285" i="2"/>
  <c r="L314" i="2"/>
  <c r="L297" i="2"/>
  <c r="L269" i="2"/>
  <c r="L136" i="2"/>
  <c r="L186" i="2"/>
  <c r="L137" i="2"/>
  <c r="L163" i="2"/>
  <c r="L149" i="2"/>
  <c r="R141" i="2"/>
  <c r="L162" i="2"/>
  <c r="L168" i="2"/>
  <c r="L33" i="2"/>
  <c r="L183" i="2"/>
  <c r="L188" i="2"/>
  <c r="L114" i="2"/>
  <c r="L139" i="2"/>
  <c r="L75" i="2"/>
  <c r="L112" i="2"/>
  <c r="L172" i="2"/>
  <c r="L220" i="2"/>
  <c r="L230" i="2"/>
  <c r="L240" i="2"/>
  <c r="L268" i="2"/>
  <c r="L280" i="2"/>
  <c r="L287" i="2"/>
  <c r="L308" i="2"/>
  <c r="L81" i="2"/>
  <c r="L279" i="2"/>
  <c r="L307" i="2"/>
  <c r="L319" i="2"/>
  <c r="L72" i="2"/>
  <c r="L165" i="2"/>
  <c r="L317" i="2"/>
  <c r="L94" i="2"/>
  <c r="F269" i="2"/>
  <c r="L299" i="2"/>
  <c r="L32" i="2"/>
  <c r="L79" i="2"/>
  <c r="L155" i="2"/>
  <c r="L298" i="2"/>
  <c r="L181" i="2"/>
  <c r="L289" i="2"/>
  <c r="L73" i="2"/>
  <c r="L115" i="2"/>
  <c r="L142" i="2"/>
  <c r="L147" i="2"/>
  <c r="L187" i="2"/>
  <c r="L203" i="2"/>
  <c r="L223" i="2"/>
  <c r="L228" i="2"/>
  <c r="L238" i="2"/>
  <c r="L243" i="2"/>
  <c r="L248" i="2"/>
  <c r="L253" i="2"/>
  <c r="L271" i="2"/>
  <c r="L278" i="2"/>
  <c r="L290" i="2"/>
  <c r="G145" i="2"/>
  <c r="L141" i="2"/>
  <c r="L83" i="2"/>
  <c r="L90" i="2"/>
  <c r="L145" i="2"/>
  <c r="L173" i="2"/>
  <c r="G219" i="2"/>
  <c r="L281" i="2"/>
  <c r="L288" i="2"/>
  <c r="L309" i="2"/>
  <c r="L316" i="2"/>
  <c r="L323" i="2"/>
  <c r="R291" i="2"/>
  <c r="L292" i="2"/>
  <c r="L312" i="2"/>
  <c r="L276" i="2"/>
  <c r="L283" i="2"/>
  <c r="F270" i="2"/>
  <c r="G314" i="2"/>
  <c r="F284" i="2"/>
  <c r="F295" i="2"/>
  <c r="G304" i="2"/>
  <c r="R277" i="2"/>
  <c r="G320" i="2"/>
  <c r="L273" i="2"/>
  <c r="L302" i="2"/>
  <c r="L270" i="2"/>
  <c r="L277" i="2"/>
  <c r="L293" i="2"/>
  <c r="L313" i="2"/>
  <c r="R287" i="2"/>
  <c r="L206" i="2"/>
  <c r="L226" i="2"/>
  <c r="L241" i="2"/>
  <c r="L251" i="2"/>
  <c r="L204" i="2"/>
  <c r="L214" i="2"/>
  <c r="L229" i="2"/>
  <c r="L207" i="2"/>
  <c r="L217" i="2"/>
  <c r="L237" i="2"/>
  <c r="L257" i="2"/>
  <c r="G242" i="2"/>
  <c r="F208" i="2"/>
  <c r="L210" i="2"/>
  <c r="F238" i="2"/>
  <c r="L211" i="2"/>
  <c r="L216" i="2"/>
  <c r="L231" i="2"/>
  <c r="L209" i="2"/>
  <c r="L224" i="2"/>
  <c r="L239" i="2"/>
  <c r="L249" i="2"/>
  <c r="L212" i="2"/>
  <c r="S217" i="2"/>
  <c r="L227" i="2"/>
  <c r="L242" i="2"/>
  <c r="L252" i="2"/>
  <c r="S239" i="2"/>
  <c r="S241" i="2"/>
  <c r="F228" i="2"/>
  <c r="F248" i="2"/>
  <c r="L250" i="2"/>
  <c r="L221" i="2"/>
  <c r="L219" i="2"/>
  <c r="L234" i="2"/>
  <c r="L244" i="2"/>
  <c r="L202" i="2"/>
  <c r="L222" i="2"/>
  <c r="L232" i="2"/>
  <c r="G206" i="2"/>
  <c r="L208" i="2"/>
  <c r="L218" i="2"/>
  <c r="R220" i="2"/>
  <c r="R240" i="2"/>
  <c r="G148" i="2"/>
  <c r="L177" i="2"/>
  <c r="L191" i="2"/>
  <c r="L144" i="2"/>
  <c r="L140" i="2"/>
  <c r="S146" i="2"/>
  <c r="L157" i="2"/>
  <c r="L175" i="2"/>
  <c r="L182" i="2"/>
  <c r="S139" i="2"/>
  <c r="L161" i="2"/>
  <c r="F145" i="2"/>
  <c r="F142" i="2"/>
  <c r="L167" i="2"/>
  <c r="L185" i="2"/>
  <c r="G146" i="2"/>
  <c r="R138" i="2"/>
  <c r="F177" i="2"/>
  <c r="L143" i="2"/>
  <c r="L151" i="2"/>
  <c r="S190" i="2"/>
  <c r="L171" i="2"/>
  <c r="L156" i="2"/>
  <c r="L78" i="2"/>
  <c r="L118" i="2"/>
  <c r="L125" i="2"/>
  <c r="L105" i="2"/>
  <c r="L116" i="2"/>
  <c r="L122" i="2"/>
  <c r="L98" i="2"/>
  <c r="L93" i="2"/>
  <c r="L108" i="2"/>
  <c r="L84" i="2"/>
  <c r="L124" i="2"/>
  <c r="G322" i="2"/>
  <c r="F299" i="2"/>
  <c r="G307" i="2"/>
  <c r="F307" i="2"/>
  <c r="L310" i="2"/>
  <c r="F314" i="2"/>
  <c r="L320" i="2"/>
  <c r="R311" i="2"/>
  <c r="G276" i="2"/>
  <c r="S289" i="2"/>
  <c r="R289" i="2"/>
  <c r="S296" i="2"/>
  <c r="F300" i="2"/>
  <c r="S303" i="2"/>
  <c r="R303" i="2"/>
  <c r="R271" i="2"/>
  <c r="R272" i="2"/>
  <c r="G274" i="2"/>
  <c r="F275" i="2"/>
  <c r="L286" i="2"/>
  <c r="S287" i="2"/>
  <c r="R288" i="2"/>
  <c r="G291" i="2"/>
  <c r="F291" i="2"/>
  <c r="R295" i="2"/>
  <c r="R296" i="2"/>
  <c r="S302" i="2"/>
  <c r="G306" i="2"/>
  <c r="F313" i="2"/>
  <c r="F305" i="2"/>
  <c r="S316" i="2"/>
  <c r="L322" i="2"/>
  <c r="G285" i="2"/>
  <c r="G315" i="2"/>
  <c r="F283" i="2"/>
  <c r="F274" i="2"/>
  <c r="F273" i="2"/>
  <c r="S278" i="2"/>
  <c r="S279" i="2"/>
  <c r="R279" i="2"/>
  <c r="S286" i="2"/>
  <c r="F289" i="2"/>
  <c r="F290" i="2"/>
  <c r="S293" i="2"/>
  <c r="R293" i="2"/>
  <c r="G297" i="2"/>
  <c r="F297" i="2"/>
  <c r="L300" i="2"/>
  <c r="F304" i="2"/>
  <c r="E304" i="2" s="1"/>
  <c r="G305" i="2"/>
  <c r="R316" i="2"/>
  <c r="R322" i="2"/>
  <c r="R312" i="2"/>
  <c r="S272" i="2"/>
  <c r="G275" i="2"/>
  <c r="R301" i="2"/>
  <c r="S277" i="2"/>
  <c r="R278" i="2"/>
  <c r="G281" i="2"/>
  <c r="F281" i="2"/>
  <c r="R285" i="2"/>
  <c r="R286" i="2"/>
  <c r="S292" i="2"/>
  <c r="G296" i="2"/>
  <c r="F303" i="2"/>
  <c r="R307" i="2"/>
  <c r="S308" i="2"/>
  <c r="S309" i="2"/>
  <c r="R309" i="2"/>
  <c r="R315" i="2"/>
  <c r="G317" i="2"/>
  <c r="F317" i="2"/>
  <c r="S319" i="2"/>
  <c r="R319" i="2"/>
  <c r="G321" i="2"/>
  <c r="G290" i="2"/>
  <c r="R302" i="2"/>
  <c r="G280" i="2"/>
  <c r="L282" i="2"/>
  <c r="R292" i="2"/>
  <c r="G294" i="2"/>
  <c r="L306" i="2"/>
  <c r="S307" i="2"/>
  <c r="R308" i="2"/>
  <c r="G311" i="2"/>
  <c r="F311" i="2"/>
  <c r="G300" i="2"/>
  <c r="S314" i="2"/>
  <c r="S304" i="2"/>
  <c r="S294" i="2"/>
  <c r="S284" i="2"/>
  <c r="S274" i="2"/>
  <c r="S315" i="2"/>
  <c r="R314" i="2"/>
  <c r="S305" i="2"/>
  <c r="R304" i="2"/>
  <c r="S295" i="2"/>
  <c r="R294" i="2"/>
  <c r="S285" i="2"/>
  <c r="R284" i="2"/>
  <c r="S275" i="2"/>
  <c r="R274" i="2"/>
  <c r="S268" i="2"/>
  <c r="S269" i="2"/>
  <c r="S320" i="2"/>
  <c r="S310" i="2"/>
  <c r="S300" i="2"/>
  <c r="S290" i="2"/>
  <c r="S280" i="2"/>
  <c r="S270" i="2"/>
  <c r="R269" i="2"/>
  <c r="S321" i="2"/>
  <c r="R320" i="2"/>
  <c r="S311" i="2"/>
  <c r="R310" i="2"/>
  <c r="S301" i="2"/>
  <c r="Q301" i="2" s="1"/>
  <c r="R300" i="2"/>
  <c r="S291" i="2"/>
  <c r="R290" i="2"/>
  <c r="S281" i="2"/>
  <c r="R280" i="2"/>
  <c r="S271" i="2"/>
  <c r="R270" i="2"/>
  <c r="S322" i="2"/>
  <c r="R321" i="2"/>
  <c r="S276" i="2"/>
  <c r="F279" i="2"/>
  <c r="F280" i="2"/>
  <c r="S283" i="2"/>
  <c r="R283" i="2"/>
  <c r="G287" i="2"/>
  <c r="F287" i="2"/>
  <c r="F294" i="2"/>
  <c r="G295" i="2"/>
  <c r="G310" i="2"/>
  <c r="G316" i="2"/>
  <c r="S318" i="2"/>
  <c r="G277" i="2"/>
  <c r="F277" i="2"/>
  <c r="S323" i="2"/>
  <c r="G271" i="2"/>
  <c r="F271" i="2"/>
  <c r="G273" i="2"/>
  <c r="F272" i="2"/>
  <c r="F323" i="2"/>
  <c r="G269" i="2"/>
  <c r="F268" i="2"/>
  <c r="F319" i="2"/>
  <c r="R275" i="2"/>
  <c r="R276" i="2"/>
  <c r="S282" i="2"/>
  <c r="G286" i="2"/>
  <c r="F293" i="2"/>
  <c r="R297" i="2"/>
  <c r="S298" i="2"/>
  <c r="S299" i="2"/>
  <c r="R299" i="2"/>
  <c r="S306" i="2"/>
  <c r="F309" i="2"/>
  <c r="F310" i="2"/>
  <c r="S313" i="2"/>
  <c r="R313" i="2"/>
  <c r="R318" i="2"/>
  <c r="F320" i="2"/>
  <c r="S273" i="2"/>
  <c r="R273" i="2"/>
  <c r="S317" i="2"/>
  <c r="S288" i="2"/>
  <c r="R268" i="2"/>
  <c r="G270" i="2"/>
  <c r="L272" i="2"/>
  <c r="R281" i="2"/>
  <c r="R282" i="2"/>
  <c r="G284" i="2"/>
  <c r="F285" i="2"/>
  <c r="L296" i="2"/>
  <c r="S297" i="2"/>
  <c r="R298" i="2"/>
  <c r="G301" i="2"/>
  <c r="F301" i="2"/>
  <c r="R305" i="2"/>
  <c r="R306" i="2"/>
  <c r="S312" i="2"/>
  <c r="Q312" i="2" s="1"/>
  <c r="F315" i="2"/>
  <c r="R317" i="2"/>
  <c r="F278" i="2"/>
  <c r="G279" i="2"/>
  <c r="E279" i="2" s="1"/>
  <c r="F288" i="2"/>
  <c r="G289" i="2"/>
  <c r="E289" i="2" s="1"/>
  <c r="F298" i="2"/>
  <c r="G299" i="2"/>
  <c r="F308" i="2"/>
  <c r="G309" i="2"/>
  <c r="F318" i="2"/>
  <c r="G319" i="2"/>
  <c r="G268" i="2"/>
  <c r="G278" i="2"/>
  <c r="G288" i="2"/>
  <c r="E288" i="2" s="1"/>
  <c r="G298" i="2"/>
  <c r="G308" i="2"/>
  <c r="G318" i="2"/>
  <c r="F276" i="2"/>
  <c r="F286" i="2"/>
  <c r="F296" i="2"/>
  <c r="F306" i="2"/>
  <c r="F316" i="2"/>
  <c r="F282" i="2"/>
  <c r="G283" i="2"/>
  <c r="F292" i="2"/>
  <c r="G293" i="2"/>
  <c r="F302" i="2"/>
  <c r="G303" i="2"/>
  <c r="F312" i="2"/>
  <c r="G313" i="2"/>
  <c r="F322" i="2"/>
  <c r="G323" i="2"/>
  <c r="G272" i="2"/>
  <c r="G282" i="2"/>
  <c r="G292" i="2"/>
  <c r="G302" i="2"/>
  <c r="G312" i="2"/>
  <c r="F321" i="2"/>
  <c r="R323" i="2"/>
  <c r="L225" i="2"/>
  <c r="L255" i="2"/>
  <c r="L205" i="2"/>
  <c r="L215" i="2"/>
  <c r="S229" i="2"/>
  <c r="F231" i="2"/>
  <c r="G232" i="2"/>
  <c r="S249" i="2"/>
  <c r="R236" i="2"/>
  <c r="F251" i="2"/>
  <c r="S215" i="2"/>
  <c r="R215" i="2"/>
  <c r="G245" i="2"/>
  <c r="S208" i="2"/>
  <c r="G217" i="2"/>
  <c r="S228" i="2"/>
  <c r="G237" i="2"/>
  <c r="G238" i="2"/>
  <c r="E238" i="2" s="1"/>
  <c r="S242" i="2"/>
  <c r="R242" i="2"/>
  <c r="F244" i="2"/>
  <c r="S248" i="2"/>
  <c r="S210" i="2"/>
  <c r="F211" i="2"/>
  <c r="F218" i="2"/>
  <c r="R228" i="2"/>
  <c r="R248" i="2"/>
  <c r="G218" i="2"/>
  <c r="S222" i="2"/>
  <c r="R222" i="2"/>
  <c r="L233" i="2"/>
  <c r="G210" i="2"/>
  <c r="F210" i="2"/>
  <c r="R213" i="2"/>
  <c r="F216" i="2"/>
  <c r="F217" i="2"/>
  <c r="G230" i="2"/>
  <c r="F230" i="2"/>
  <c r="R233" i="2"/>
  <c r="F236" i="2"/>
  <c r="F237" i="2"/>
  <c r="G250" i="2"/>
  <c r="F250" i="2"/>
  <c r="S252" i="2"/>
  <c r="S230" i="2"/>
  <c r="S257" i="2"/>
  <c r="R229" i="2"/>
  <c r="G256" i="2"/>
  <c r="L213" i="2"/>
  <c r="S221" i="2"/>
  <c r="S207" i="2"/>
  <c r="S227" i="2"/>
  <c r="G229" i="2"/>
  <c r="G236" i="2"/>
  <c r="S240" i="2"/>
  <c r="G243" i="2"/>
  <c r="F243" i="2"/>
  <c r="R246" i="2"/>
  <c r="S247" i="2"/>
  <c r="G249" i="2"/>
  <c r="R256" i="2"/>
  <c r="G213" i="2"/>
  <c r="F213" i="2"/>
  <c r="S237" i="2"/>
  <c r="G212" i="2"/>
  <c r="R209" i="2"/>
  <c r="S235" i="2"/>
  <c r="R235" i="2"/>
  <c r="F254" i="2"/>
  <c r="F204" i="2"/>
  <c r="S214" i="2"/>
  <c r="S234" i="2"/>
  <c r="G209" i="2"/>
  <c r="G216" i="2"/>
  <c r="S220" i="2"/>
  <c r="G223" i="2"/>
  <c r="F223" i="2"/>
  <c r="R226" i="2"/>
  <c r="S219" i="2"/>
  <c r="F221" i="2"/>
  <c r="G222" i="2"/>
  <c r="F241" i="2"/>
  <c r="G253" i="2"/>
  <c r="F253" i="2"/>
  <c r="F257" i="2"/>
  <c r="R216" i="2"/>
  <c r="G233" i="2"/>
  <c r="F233" i="2"/>
  <c r="G205" i="2"/>
  <c r="G225" i="2"/>
  <c r="R249" i="2"/>
  <c r="F224" i="2"/>
  <c r="F249" i="2"/>
  <c r="F239" i="2"/>
  <c r="F229" i="2"/>
  <c r="F219" i="2"/>
  <c r="F209" i="2"/>
  <c r="G251" i="2"/>
  <c r="G241" i="2"/>
  <c r="G203" i="2"/>
  <c r="F256" i="2"/>
  <c r="G254" i="2"/>
  <c r="G244" i="2"/>
  <c r="G234" i="2"/>
  <c r="G224" i="2"/>
  <c r="G214" i="2"/>
  <c r="G204" i="2"/>
  <c r="F203" i="2"/>
  <c r="G257" i="2"/>
  <c r="R206" i="2"/>
  <c r="S251" i="2"/>
  <c r="S254" i="2"/>
  <c r="S205" i="2"/>
  <c r="S206" i="2"/>
  <c r="R205" i="2"/>
  <c r="G215" i="2"/>
  <c r="R218" i="2"/>
  <c r="R219" i="2"/>
  <c r="S225" i="2"/>
  <c r="R225" i="2"/>
  <c r="G235" i="2"/>
  <c r="R238" i="2"/>
  <c r="R239" i="2"/>
  <c r="S245" i="2"/>
  <c r="R245" i="2"/>
  <c r="G239" i="2"/>
  <c r="S204" i="2"/>
  <c r="G207" i="2"/>
  <c r="G208" i="2"/>
  <c r="S211" i="2"/>
  <c r="S212" i="2"/>
  <c r="R212" i="2"/>
  <c r="F214" i="2"/>
  <c r="S218" i="2"/>
  <c r="S224" i="2"/>
  <c r="G227" i="2"/>
  <c r="G228" i="2"/>
  <c r="S231" i="2"/>
  <c r="S232" i="2"/>
  <c r="R232" i="2"/>
  <c r="F234" i="2"/>
  <c r="S238" i="2"/>
  <c r="S244" i="2"/>
  <c r="G247" i="2"/>
  <c r="G248" i="2"/>
  <c r="E248" i="2" s="1"/>
  <c r="G252" i="2"/>
  <c r="G255" i="2"/>
  <c r="G226" i="2"/>
  <c r="G246" i="2"/>
  <c r="S209" i="2"/>
  <c r="R208" i="2"/>
  <c r="R203" i="2"/>
  <c r="F206" i="2"/>
  <c r="F207" i="2"/>
  <c r="R210" i="2"/>
  <c r="G220" i="2"/>
  <c r="F220" i="2"/>
  <c r="R223" i="2"/>
  <c r="F226" i="2"/>
  <c r="F227" i="2"/>
  <c r="R230" i="2"/>
  <c r="G240" i="2"/>
  <c r="F240" i="2"/>
  <c r="R243" i="2"/>
  <c r="F246" i="2"/>
  <c r="F247" i="2"/>
  <c r="S250" i="2"/>
  <c r="R250" i="2"/>
  <c r="R253" i="2"/>
  <c r="S216" i="2"/>
  <c r="S226" i="2"/>
  <c r="S236" i="2"/>
  <c r="S246" i="2"/>
  <c r="R255" i="2"/>
  <c r="S256" i="2"/>
  <c r="R204" i="2"/>
  <c r="F212" i="2"/>
  <c r="R214" i="2"/>
  <c r="F222" i="2"/>
  <c r="R224" i="2"/>
  <c r="F232" i="2"/>
  <c r="R234" i="2"/>
  <c r="F242" i="2"/>
  <c r="R244" i="2"/>
  <c r="F252" i="2"/>
  <c r="R254" i="2"/>
  <c r="S255" i="2"/>
  <c r="S203" i="2"/>
  <c r="G211" i="2"/>
  <c r="S213" i="2"/>
  <c r="G221" i="2"/>
  <c r="S223" i="2"/>
  <c r="G231" i="2"/>
  <c r="S233" i="2"/>
  <c r="S243" i="2"/>
  <c r="R252" i="2"/>
  <c r="S253" i="2"/>
  <c r="R211" i="2"/>
  <c r="R221" i="2"/>
  <c r="R231" i="2"/>
  <c r="R241" i="2"/>
  <c r="R251" i="2"/>
  <c r="F205" i="2"/>
  <c r="R207" i="2"/>
  <c r="F215" i="2"/>
  <c r="R217" i="2"/>
  <c r="F225" i="2"/>
  <c r="R227" i="2"/>
  <c r="F235" i="2"/>
  <c r="R237" i="2"/>
  <c r="F245" i="2"/>
  <c r="R247" i="2"/>
  <c r="F255" i="2"/>
  <c r="R257" i="2"/>
  <c r="S202" i="2"/>
  <c r="F202" i="2"/>
  <c r="G202" i="2"/>
  <c r="R202" i="2"/>
  <c r="S145" i="2"/>
  <c r="G161" i="2"/>
  <c r="F161" i="2"/>
  <c r="S181" i="2"/>
  <c r="R150" i="2"/>
  <c r="G175" i="2"/>
  <c r="G178" i="2"/>
  <c r="G182" i="2"/>
  <c r="G189" i="2"/>
  <c r="R139" i="2"/>
  <c r="G143" i="2"/>
  <c r="S151" i="2"/>
  <c r="F154" i="2"/>
  <c r="G160" i="2"/>
  <c r="R169" i="2"/>
  <c r="G171" i="2"/>
  <c r="F171" i="2"/>
  <c r="S173" i="2"/>
  <c r="R173" i="2"/>
  <c r="F178" i="2"/>
  <c r="S184" i="2"/>
  <c r="R151" i="2"/>
  <c r="F167" i="2"/>
  <c r="R170" i="2"/>
  <c r="F137" i="2"/>
  <c r="R137" i="2"/>
  <c r="F139" i="2"/>
  <c r="G141" i="2"/>
  <c r="F141" i="2"/>
  <c r="R148" i="2"/>
  <c r="G154" i="2"/>
  <c r="S180" i="2"/>
  <c r="G185" i="2"/>
  <c r="G188" i="2"/>
  <c r="S154" i="2"/>
  <c r="R144" i="2"/>
  <c r="F146" i="2"/>
  <c r="R146" i="2"/>
  <c r="F148" i="2"/>
  <c r="S148" i="2"/>
  <c r="S152" i="2"/>
  <c r="G155" i="2"/>
  <c r="F159" i="2"/>
  <c r="R161" i="2"/>
  <c r="G170" i="2"/>
  <c r="S172" i="2"/>
  <c r="R180" i="2"/>
  <c r="S183" i="2"/>
  <c r="R183" i="2"/>
  <c r="F188" i="2"/>
  <c r="S170" i="2"/>
  <c r="G150" i="2"/>
  <c r="G137" i="2"/>
  <c r="F190" i="2"/>
  <c r="F180" i="2"/>
  <c r="F170" i="2"/>
  <c r="F160" i="2"/>
  <c r="F150" i="2"/>
  <c r="F140" i="2"/>
  <c r="G183" i="2"/>
  <c r="F182" i="2"/>
  <c r="G173" i="2"/>
  <c r="F172" i="2"/>
  <c r="G163" i="2"/>
  <c r="F162" i="2"/>
  <c r="G153" i="2"/>
  <c r="F152" i="2"/>
  <c r="G184" i="2"/>
  <c r="F183" i="2"/>
  <c r="G174" i="2"/>
  <c r="F173" i="2"/>
  <c r="G164" i="2"/>
  <c r="F163" i="2"/>
  <c r="F184" i="2"/>
  <c r="F174" i="2"/>
  <c r="F164" i="2"/>
  <c r="G177" i="2"/>
  <c r="G167" i="2"/>
  <c r="F166" i="2"/>
  <c r="R182" i="2"/>
  <c r="R172" i="2"/>
  <c r="R162" i="2"/>
  <c r="R152" i="2"/>
  <c r="R142" i="2"/>
  <c r="S185" i="2"/>
  <c r="R184" i="2"/>
  <c r="S175" i="2"/>
  <c r="R174" i="2"/>
  <c r="S165" i="2"/>
  <c r="R164" i="2"/>
  <c r="S155" i="2"/>
  <c r="R154" i="2"/>
  <c r="S186" i="2"/>
  <c r="R185" i="2"/>
  <c r="S176" i="2"/>
  <c r="R175" i="2"/>
  <c r="S166" i="2"/>
  <c r="R165" i="2"/>
  <c r="S156" i="2"/>
  <c r="R155" i="2"/>
  <c r="R186" i="2"/>
  <c r="R176" i="2"/>
  <c r="R166" i="2"/>
  <c r="R156" i="2"/>
  <c r="S179" i="2"/>
  <c r="S169" i="2"/>
  <c r="S142" i="2"/>
  <c r="F144" i="2"/>
  <c r="S144" i="2"/>
  <c r="G151" i="2"/>
  <c r="F151" i="2"/>
  <c r="F155" i="2"/>
  <c r="G159" i="2"/>
  <c r="S161" i="2"/>
  <c r="S164" i="2"/>
  <c r="R179" i="2"/>
  <c r="G181" i="2"/>
  <c r="F181" i="2"/>
  <c r="R190" i="2"/>
  <c r="F189" i="2"/>
  <c r="G158" i="2"/>
  <c r="G162" i="2"/>
  <c r="R171" i="2"/>
  <c r="S182" i="2"/>
  <c r="F187" i="2"/>
  <c r="R189" i="2"/>
  <c r="G191" i="2"/>
  <c r="F191" i="2"/>
  <c r="F153" i="2"/>
  <c r="S191" i="2"/>
  <c r="R191" i="2"/>
  <c r="S141" i="2"/>
  <c r="S143" i="2"/>
  <c r="R143" i="2"/>
  <c r="G139" i="2"/>
  <c r="S140" i="2"/>
  <c r="F149" i="2"/>
  <c r="S149" i="2"/>
  <c r="G152" i="2"/>
  <c r="L154" i="2"/>
  <c r="F158" i="2"/>
  <c r="G169" i="2"/>
  <c r="S171" i="2"/>
  <c r="L174" i="2"/>
  <c r="G180" i="2"/>
  <c r="S150" i="2"/>
  <c r="R159" i="2"/>
  <c r="G179" i="2"/>
  <c r="S162" i="2"/>
  <c r="S137" i="2"/>
  <c r="G144" i="2"/>
  <c r="R147" i="2"/>
  <c r="S153" i="2"/>
  <c r="R153" i="2"/>
  <c r="S160" i="2"/>
  <c r="G165" i="2"/>
  <c r="G168" i="2"/>
  <c r="G172" i="2"/>
  <c r="S174" i="2"/>
  <c r="G190" i="2"/>
  <c r="F143" i="2"/>
  <c r="R149" i="2"/>
  <c r="F169" i="2"/>
  <c r="G142" i="2"/>
  <c r="G138" i="2"/>
  <c r="G140" i="2"/>
  <c r="R140" i="2"/>
  <c r="F147" i="2"/>
  <c r="G149" i="2"/>
  <c r="F138" i="2"/>
  <c r="S138" i="2"/>
  <c r="R145" i="2"/>
  <c r="G147" i="2"/>
  <c r="S147" i="2"/>
  <c r="F157" i="2"/>
  <c r="R160" i="2"/>
  <c r="S163" i="2"/>
  <c r="R163" i="2"/>
  <c r="F168" i="2"/>
  <c r="F179" i="2"/>
  <c r="R181" i="2"/>
  <c r="L184" i="2"/>
  <c r="F156" i="2"/>
  <c r="G157" i="2"/>
  <c r="R158" i="2"/>
  <c r="S159" i="2"/>
  <c r="R168" i="2"/>
  <c r="F176" i="2"/>
  <c r="R178" i="2"/>
  <c r="F186" i="2"/>
  <c r="G187" i="2"/>
  <c r="R188" i="2"/>
  <c r="S189" i="2"/>
  <c r="G156" i="2"/>
  <c r="R157" i="2"/>
  <c r="S158" i="2"/>
  <c r="F165" i="2"/>
  <c r="G166" i="2"/>
  <c r="R167" i="2"/>
  <c r="S168" i="2"/>
  <c r="F175" i="2"/>
  <c r="G176" i="2"/>
  <c r="R177" i="2"/>
  <c r="S178" i="2"/>
  <c r="F185" i="2"/>
  <c r="G186" i="2"/>
  <c r="R187" i="2"/>
  <c r="S188" i="2"/>
  <c r="S157" i="2"/>
  <c r="S167" i="2"/>
  <c r="S177" i="2"/>
  <c r="S187" i="2"/>
  <c r="S136" i="2"/>
  <c r="G136" i="2"/>
  <c r="R136" i="2"/>
  <c r="F136" i="2"/>
  <c r="L74" i="2"/>
  <c r="L95" i="2"/>
  <c r="L85" i="2"/>
  <c r="E269" i="2" l="1"/>
  <c r="E313" i="2"/>
  <c r="E295" i="2"/>
  <c r="E228" i="2"/>
  <c r="Q141" i="2"/>
  <c r="E284" i="2"/>
  <c r="Q162" i="2"/>
  <c r="E258" i="2"/>
  <c r="E324" i="2"/>
  <c r="Q324" i="2"/>
  <c r="Q258" i="2"/>
  <c r="Q169" i="2"/>
  <c r="Q192" i="2"/>
  <c r="Q190" i="2"/>
  <c r="E176" i="2"/>
  <c r="K258" i="2"/>
  <c r="I258" i="2" s="1"/>
  <c r="J258" i="2" s="1"/>
  <c r="E314" i="2"/>
  <c r="K324" i="2"/>
  <c r="I324" i="2" s="1"/>
  <c r="J324" i="2" s="1"/>
  <c r="E147" i="2"/>
  <c r="E137" i="2"/>
  <c r="E192" i="2"/>
  <c r="E292" i="2"/>
  <c r="Q288" i="2"/>
  <c r="Q158" i="2"/>
  <c r="Q150" i="2"/>
  <c r="K191" i="2"/>
  <c r="I191" i="2" s="1"/>
  <c r="J191" i="2" s="1"/>
  <c r="E177" i="2"/>
  <c r="K192" i="2"/>
  <c r="I192" i="2" s="1"/>
  <c r="J192" i="2" s="1"/>
  <c r="E250" i="2"/>
  <c r="E148" i="2"/>
  <c r="E145" i="2"/>
  <c r="Q191" i="2"/>
  <c r="E142" i="2"/>
  <c r="E271" i="2"/>
  <c r="E293" i="2"/>
  <c r="E219" i="2"/>
  <c r="E206" i="2"/>
  <c r="E208" i="2"/>
  <c r="E167" i="2"/>
  <c r="E146" i="2"/>
  <c r="Q271" i="2"/>
  <c r="Q307" i="2"/>
  <c r="Q146" i="2"/>
  <c r="Q142" i="2"/>
  <c r="Q138" i="2"/>
  <c r="Q185" i="2"/>
  <c r="Q291" i="2"/>
  <c r="K278" i="2"/>
  <c r="I278" i="2" s="1"/>
  <c r="J278" i="2" s="1"/>
  <c r="E268" i="2"/>
  <c r="E282" i="2"/>
  <c r="E299" i="2"/>
  <c r="K287" i="2"/>
  <c r="I287" i="2" s="1"/>
  <c r="J287" i="2" s="1"/>
  <c r="E278" i="2"/>
  <c r="Q313" i="2"/>
  <c r="Q304" i="2"/>
  <c r="Q303" i="2"/>
  <c r="E223" i="2"/>
  <c r="E242" i="2"/>
  <c r="Q147" i="2"/>
  <c r="Q149" i="2"/>
  <c r="Q161" i="2"/>
  <c r="K155" i="2"/>
  <c r="I155" i="2" s="1"/>
  <c r="J155" i="2" s="1"/>
  <c r="E159" i="2"/>
  <c r="E180" i="2"/>
  <c r="Q143" i="2"/>
  <c r="K140" i="2"/>
  <c r="I140" i="2" s="1"/>
  <c r="J140" i="2" s="1"/>
  <c r="K170" i="2"/>
  <c r="I170" i="2" s="1"/>
  <c r="J170" i="2" s="1"/>
  <c r="Q139" i="2"/>
  <c r="E184" i="2"/>
  <c r="Q160" i="2"/>
  <c r="E139" i="2"/>
  <c r="E216" i="2"/>
  <c r="E301" i="2"/>
  <c r="Q280" i="2"/>
  <c r="Q285" i="2"/>
  <c r="Q279" i="2"/>
  <c r="E302" i="2"/>
  <c r="Q189" i="2"/>
  <c r="E231" i="2"/>
  <c r="K209" i="2"/>
  <c r="I209" i="2" s="1"/>
  <c r="J209" i="2" s="1"/>
  <c r="E305" i="2"/>
  <c r="E187" i="2"/>
  <c r="E161" i="2"/>
  <c r="K252" i="2"/>
  <c r="I252" i="2" s="1"/>
  <c r="J252" i="2" s="1"/>
  <c r="Q167" i="2"/>
  <c r="Q170" i="2"/>
  <c r="E154" i="2"/>
  <c r="Q213" i="2"/>
  <c r="Q216" i="2"/>
  <c r="Q209" i="2"/>
  <c r="E203" i="2"/>
  <c r="K255" i="2"/>
  <c r="I255" i="2" s="1"/>
  <c r="J255" i="2" s="1"/>
  <c r="E311" i="2"/>
  <c r="E321" i="2"/>
  <c r="E275" i="2"/>
  <c r="Q137" i="2"/>
  <c r="K141" i="2"/>
  <c r="I141" i="2" s="1"/>
  <c r="J141" i="2" s="1"/>
  <c r="E257" i="2"/>
  <c r="E241" i="2"/>
  <c r="Q247" i="2"/>
  <c r="E320" i="2"/>
  <c r="Q322" i="2"/>
  <c r="Q311" i="2"/>
  <c r="K279" i="2"/>
  <c r="I279" i="2" s="1"/>
  <c r="J279" i="2" s="1"/>
  <c r="E149" i="2"/>
  <c r="E152" i="2"/>
  <c r="Q144" i="2"/>
  <c r="E207" i="2"/>
  <c r="E218" i="2"/>
  <c r="E309" i="2"/>
  <c r="K236" i="2"/>
  <c r="I236" i="2" s="1"/>
  <c r="J236" i="2" s="1"/>
  <c r="Q217" i="2"/>
  <c r="K302" i="2"/>
  <c r="I302" i="2" s="1"/>
  <c r="J302" i="2" s="1"/>
  <c r="E303" i="2"/>
  <c r="Q319" i="2"/>
  <c r="Q292" i="2"/>
  <c r="E285" i="2"/>
  <c r="E291" i="2"/>
  <c r="E312" i="2"/>
  <c r="E318" i="2"/>
  <c r="K272" i="2"/>
  <c r="I272" i="2" s="1"/>
  <c r="J272" i="2" s="1"/>
  <c r="Q284" i="2"/>
  <c r="Q287" i="2"/>
  <c r="E270" i="2"/>
  <c r="Q270" i="2"/>
  <c r="Q294" i="2"/>
  <c r="K282" i="2"/>
  <c r="I282" i="2" s="1"/>
  <c r="J282" i="2" s="1"/>
  <c r="E272" i="2"/>
  <c r="Q314" i="2"/>
  <c r="Q278" i="2"/>
  <c r="E283" i="2"/>
  <c r="E323" i="2"/>
  <c r="Q318" i="2"/>
  <c r="Q295" i="2"/>
  <c r="E300" i="2"/>
  <c r="Q308" i="2"/>
  <c r="Q277" i="2"/>
  <c r="Q302" i="2"/>
  <c r="K316" i="2"/>
  <c r="I316" i="2" s="1"/>
  <c r="J316" i="2" s="1"/>
  <c r="Q299" i="2"/>
  <c r="Q276" i="2"/>
  <c r="P276" i="2" s="1"/>
  <c r="O276" i="2" s="1"/>
  <c r="Q310" i="2"/>
  <c r="E290" i="2"/>
  <c r="Q256" i="2"/>
  <c r="E233" i="2"/>
  <c r="Q233" i="2"/>
  <c r="E227" i="2"/>
  <c r="E251" i="2"/>
  <c r="Q224" i="2"/>
  <c r="Q220" i="2"/>
  <c r="Q228" i="2"/>
  <c r="Q236" i="2"/>
  <c r="Q218" i="2"/>
  <c r="Q240" i="2"/>
  <c r="Q241" i="2"/>
  <c r="E221" i="2"/>
  <c r="Q239" i="2"/>
  <c r="E244" i="2"/>
  <c r="Q237" i="2"/>
  <c r="E236" i="2"/>
  <c r="Q242" i="2"/>
  <c r="E254" i="2"/>
  <c r="Q234" i="2"/>
  <c r="E229" i="2"/>
  <c r="E245" i="2"/>
  <c r="Q251" i="2"/>
  <c r="K162" i="2"/>
  <c r="I162" i="2" s="1"/>
  <c r="J162" i="2" s="1"/>
  <c r="E158" i="2"/>
  <c r="Q155" i="2"/>
  <c r="Q152" i="2"/>
  <c r="Q184" i="2"/>
  <c r="K184" i="2"/>
  <c r="I184" i="2" s="1"/>
  <c r="J184" i="2" s="1"/>
  <c r="K168" i="2"/>
  <c r="I168" i="2" s="1"/>
  <c r="J168" i="2" s="1"/>
  <c r="Q183" i="2"/>
  <c r="E141" i="2"/>
  <c r="Q173" i="2"/>
  <c r="K186" i="2"/>
  <c r="I186" i="2" s="1"/>
  <c r="J186" i="2" s="1"/>
  <c r="K178" i="2"/>
  <c r="I178" i="2" s="1"/>
  <c r="J178" i="2" s="1"/>
  <c r="E191" i="2"/>
  <c r="E181" i="2"/>
  <c r="Q166" i="2"/>
  <c r="K183" i="2"/>
  <c r="I183" i="2" s="1"/>
  <c r="J183" i="2" s="1"/>
  <c r="K176" i="2"/>
  <c r="I176" i="2" s="1"/>
  <c r="J176" i="2" s="1"/>
  <c r="Q153" i="2"/>
  <c r="Q140" i="2"/>
  <c r="K151" i="2"/>
  <c r="I151" i="2" s="1"/>
  <c r="J151" i="2" s="1"/>
  <c r="K172" i="2"/>
  <c r="I172" i="2" s="1"/>
  <c r="J172" i="2" s="1"/>
  <c r="K177" i="2"/>
  <c r="I177" i="2" s="1"/>
  <c r="J177" i="2" s="1"/>
  <c r="Q164" i="2"/>
  <c r="K143" i="2"/>
  <c r="I143" i="2" s="1"/>
  <c r="J143" i="2" s="1"/>
  <c r="E186" i="2"/>
  <c r="E144" i="2"/>
  <c r="K174" i="2"/>
  <c r="I174" i="2" s="1"/>
  <c r="J174" i="2" s="1"/>
  <c r="Q182" i="2"/>
  <c r="Q159" i="2"/>
  <c r="K139" i="2"/>
  <c r="I139" i="2" s="1"/>
  <c r="J139" i="2" s="1"/>
  <c r="Q174" i="2"/>
  <c r="Q178" i="2"/>
  <c r="E140" i="2"/>
  <c r="E162" i="2"/>
  <c r="E164" i="2"/>
  <c r="E173" i="2"/>
  <c r="E150" i="2"/>
  <c r="E155" i="2"/>
  <c r="Q151" i="2"/>
  <c r="Q181" i="2"/>
  <c r="K147" i="2"/>
  <c r="I147" i="2" s="1"/>
  <c r="J147" i="2" s="1"/>
  <c r="K314" i="2"/>
  <c r="I314" i="2" s="1"/>
  <c r="J314" i="2" s="1"/>
  <c r="K274" i="2"/>
  <c r="I274" i="2" s="1"/>
  <c r="J274" i="2" s="1"/>
  <c r="Q317" i="2"/>
  <c r="K295" i="2"/>
  <c r="I295" i="2" s="1"/>
  <c r="J295" i="2" s="1"/>
  <c r="E277" i="2"/>
  <c r="Q290" i="2"/>
  <c r="E280" i="2"/>
  <c r="Q309" i="2"/>
  <c r="K275" i="2"/>
  <c r="I275" i="2" s="1"/>
  <c r="J275" i="2" s="1"/>
  <c r="K322" i="2"/>
  <c r="I322" i="2" s="1"/>
  <c r="J322" i="2" s="1"/>
  <c r="K301" i="2"/>
  <c r="I301" i="2" s="1"/>
  <c r="J301" i="2" s="1"/>
  <c r="Q300" i="2"/>
  <c r="K292" i="2"/>
  <c r="I292" i="2" s="1"/>
  <c r="J292" i="2" s="1"/>
  <c r="K307" i="2"/>
  <c r="I307" i="2" s="1"/>
  <c r="J307" i="2" s="1"/>
  <c r="K318" i="2"/>
  <c r="I318" i="2" s="1"/>
  <c r="J318" i="2" s="1"/>
  <c r="E306" i="2"/>
  <c r="E322" i="2"/>
  <c r="K306" i="2"/>
  <c r="I306" i="2" s="1"/>
  <c r="J306" i="2" s="1"/>
  <c r="K283" i="2"/>
  <c r="I283" i="2" s="1"/>
  <c r="J283" i="2" s="1"/>
  <c r="Q293" i="2"/>
  <c r="K291" i="2"/>
  <c r="I291" i="2" s="1"/>
  <c r="J291" i="2" s="1"/>
  <c r="Q316" i="2"/>
  <c r="K286" i="2"/>
  <c r="I286" i="2" s="1"/>
  <c r="J286" i="2" s="1"/>
  <c r="K320" i="2"/>
  <c r="I320" i="2" s="1"/>
  <c r="J320" i="2" s="1"/>
  <c r="K294" i="2"/>
  <c r="I294" i="2" s="1"/>
  <c r="J294" i="2" s="1"/>
  <c r="K289" i="2"/>
  <c r="I289" i="2" s="1"/>
  <c r="J289" i="2" s="1"/>
  <c r="K268" i="2"/>
  <c r="I268" i="2" s="1"/>
  <c r="J268" i="2" s="1"/>
  <c r="Q273" i="2"/>
  <c r="E286" i="2"/>
  <c r="E316" i="2"/>
  <c r="Q320" i="2"/>
  <c r="Q305" i="2"/>
  <c r="K321" i="2"/>
  <c r="I321" i="2" s="1"/>
  <c r="J321" i="2" s="1"/>
  <c r="Q296" i="2"/>
  <c r="K315" i="2"/>
  <c r="I315" i="2" s="1"/>
  <c r="J315" i="2" s="1"/>
  <c r="K323" i="2"/>
  <c r="I323" i="2" s="1"/>
  <c r="J323" i="2" s="1"/>
  <c r="Q306" i="2"/>
  <c r="E273" i="2"/>
  <c r="K312" i="2"/>
  <c r="I312" i="2" s="1"/>
  <c r="J312" i="2" s="1"/>
  <c r="E287" i="2"/>
  <c r="Q269" i="2"/>
  <c r="K276" i="2"/>
  <c r="I276" i="2" s="1"/>
  <c r="J276" i="2" s="1"/>
  <c r="K305" i="2"/>
  <c r="I305" i="2" s="1"/>
  <c r="J305" i="2" s="1"/>
  <c r="E281" i="2"/>
  <c r="K269" i="2"/>
  <c r="I269" i="2" s="1"/>
  <c r="J269" i="2" s="1"/>
  <c r="K280" i="2"/>
  <c r="I280" i="2" s="1"/>
  <c r="J280" i="2" s="1"/>
  <c r="Q297" i="2"/>
  <c r="E319" i="2"/>
  <c r="K303" i="2"/>
  <c r="I303" i="2" s="1"/>
  <c r="J303" i="2" s="1"/>
  <c r="Q282" i="2"/>
  <c r="K311" i="2"/>
  <c r="I311" i="2" s="1"/>
  <c r="J311" i="2" s="1"/>
  <c r="Q315" i="2"/>
  <c r="K313" i="2"/>
  <c r="I313" i="2" s="1"/>
  <c r="J313" i="2" s="1"/>
  <c r="E294" i="2"/>
  <c r="K304" i="2"/>
  <c r="I304" i="2" s="1"/>
  <c r="J304" i="2" s="1"/>
  <c r="Q272" i="2"/>
  <c r="K300" i="2"/>
  <c r="I300" i="2" s="1"/>
  <c r="J300" i="2" s="1"/>
  <c r="Q286" i="2"/>
  <c r="K293" i="2"/>
  <c r="I293" i="2" s="1"/>
  <c r="J293" i="2" s="1"/>
  <c r="Q289" i="2"/>
  <c r="K310" i="2"/>
  <c r="I310" i="2" s="1"/>
  <c r="J310" i="2" s="1"/>
  <c r="K308" i="2"/>
  <c r="I308" i="2" s="1"/>
  <c r="J308" i="2" s="1"/>
  <c r="K290" i="2"/>
  <c r="I290" i="2" s="1"/>
  <c r="J290" i="2" s="1"/>
  <c r="K296" i="2"/>
  <c r="I296" i="2" s="1"/>
  <c r="J296" i="2" s="1"/>
  <c r="E308" i="2"/>
  <c r="K298" i="2"/>
  <c r="I298" i="2" s="1"/>
  <c r="J298" i="2" s="1"/>
  <c r="E310" i="2"/>
  <c r="Q321" i="2"/>
  <c r="Q274" i="2"/>
  <c r="E317" i="2"/>
  <c r="K299" i="2"/>
  <c r="I299" i="2" s="1"/>
  <c r="J299" i="2" s="1"/>
  <c r="E274" i="2"/>
  <c r="K309" i="2"/>
  <c r="I309" i="2" s="1"/>
  <c r="J309" i="2" s="1"/>
  <c r="K284" i="2"/>
  <c r="I284" i="2" s="1"/>
  <c r="J284" i="2" s="1"/>
  <c r="K281" i="2"/>
  <c r="I281" i="2" s="1"/>
  <c r="J281" i="2" s="1"/>
  <c r="K317" i="2"/>
  <c r="I317" i="2" s="1"/>
  <c r="J317" i="2" s="1"/>
  <c r="K285" i="2"/>
  <c r="I285" i="2" s="1"/>
  <c r="J285" i="2" s="1"/>
  <c r="Q275" i="2"/>
  <c r="K288" i="2"/>
  <c r="I288" i="2" s="1"/>
  <c r="J288" i="2" s="1"/>
  <c r="E296" i="2"/>
  <c r="E315" i="2"/>
  <c r="E276" i="2"/>
  <c r="K270" i="2"/>
  <c r="I270" i="2" s="1"/>
  <c r="J270" i="2" s="1"/>
  <c r="E298" i="2"/>
  <c r="Q298" i="2"/>
  <c r="K273" i="2"/>
  <c r="I273" i="2" s="1"/>
  <c r="J273" i="2" s="1"/>
  <c r="Q323" i="2"/>
  <c r="K297" i="2"/>
  <c r="I297" i="2" s="1"/>
  <c r="J297" i="2" s="1"/>
  <c r="Q283" i="2"/>
  <c r="Q281" i="2"/>
  <c r="K277" i="2"/>
  <c r="I277" i="2" s="1"/>
  <c r="J277" i="2" s="1"/>
  <c r="E297" i="2"/>
  <c r="K319" i="2"/>
  <c r="I319" i="2" s="1"/>
  <c r="J319" i="2" s="1"/>
  <c r="E307" i="2"/>
  <c r="K271" i="2"/>
  <c r="I271" i="2" s="1"/>
  <c r="J271" i="2" s="1"/>
  <c r="K250" i="2"/>
  <c r="I250" i="2" s="1"/>
  <c r="J250" i="2" s="1"/>
  <c r="K206" i="2"/>
  <c r="I206" i="2" s="1"/>
  <c r="J206" i="2" s="1"/>
  <c r="K221" i="2"/>
  <c r="I221" i="2" s="1"/>
  <c r="J221" i="2" s="1"/>
  <c r="K232" i="2"/>
  <c r="I232" i="2" s="1"/>
  <c r="J232" i="2" s="1"/>
  <c r="K213" i="2"/>
  <c r="I213" i="2" s="1"/>
  <c r="J213" i="2" s="1"/>
  <c r="K207" i="2"/>
  <c r="I207" i="2" s="1"/>
  <c r="J207" i="2" s="1"/>
  <c r="K254" i="2"/>
  <c r="I254" i="2" s="1"/>
  <c r="J254" i="2" s="1"/>
  <c r="Q243" i="2"/>
  <c r="K242" i="2"/>
  <c r="I242" i="2" s="1"/>
  <c r="J242" i="2" s="1"/>
  <c r="E255" i="2"/>
  <c r="E253" i="2"/>
  <c r="Q214" i="2"/>
  <c r="E249" i="2"/>
  <c r="K238" i="2"/>
  <c r="I238" i="2" s="1"/>
  <c r="J238" i="2" s="1"/>
  <c r="E256" i="2"/>
  <c r="K231" i="2"/>
  <c r="I231" i="2" s="1"/>
  <c r="J231" i="2" s="1"/>
  <c r="K247" i="2"/>
  <c r="I247" i="2" s="1"/>
  <c r="J247" i="2" s="1"/>
  <c r="K220" i="2"/>
  <c r="I220" i="2" s="1"/>
  <c r="J220" i="2" s="1"/>
  <c r="Q249" i="2"/>
  <c r="K240" i="2"/>
  <c r="I240" i="2" s="1"/>
  <c r="J240" i="2" s="1"/>
  <c r="K212" i="2"/>
  <c r="I212" i="2" s="1"/>
  <c r="J212" i="2" s="1"/>
  <c r="K234" i="2"/>
  <c r="I234" i="2" s="1"/>
  <c r="J234" i="2" s="1"/>
  <c r="K246" i="2"/>
  <c r="I246" i="2" s="1"/>
  <c r="J246" i="2" s="1"/>
  <c r="K216" i="2"/>
  <c r="I216" i="2" s="1"/>
  <c r="J216" i="2" s="1"/>
  <c r="K211" i="2"/>
  <c r="I211" i="2" s="1"/>
  <c r="J211" i="2" s="1"/>
  <c r="Q222" i="2"/>
  <c r="K228" i="2"/>
  <c r="I228" i="2" s="1"/>
  <c r="J228" i="2" s="1"/>
  <c r="Q215" i="2"/>
  <c r="E232" i="2"/>
  <c r="E234" i="2"/>
  <c r="K224" i="2"/>
  <c r="I224" i="2" s="1"/>
  <c r="J224" i="2" s="1"/>
  <c r="Q223" i="2"/>
  <c r="E240" i="2"/>
  <c r="Q232" i="2"/>
  <c r="Q204" i="2"/>
  <c r="E215" i="2"/>
  <c r="E213" i="2"/>
  <c r="K244" i="2"/>
  <c r="I244" i="2" s="1"/>
  <c r="J244" i="2" s="1"/>
  <c r="Q257" i="2"/>
  <c r="P257" i="2" s="1"/>
  <c r="O257" i="2" s="1"/>
  <c r="K245" i="2"/>
  <c r="I245" i="2" s="1"/>
  <c r="J245" i="2" s="1"/>
  <c r="E230" i="2"/>
  <c r="K214" i="2"/>
  <c r="I214" i="2" s="1"/>
  <c r="J214" i="2" s="1"/>
  <c r="K253" i="2"/>
  <c r="I253" i="2" s="1"/>
  <c r="J253" i="2" s="1"/>
  <c r="Q246" i="2"/>
  <c r="Q250" i="2"/>
  <c r="Q231" i="2"/>
  <c r="K248" i="2"/>
  <c r="I248" i="2" s="1"/>
  <c r="J248" i="2" s="1"/>
  <c r="E235" i="2"/>
  <c r="K210" i="2"/>
  <c r="I210" i="2" s="1"/>
  <c r="J210" i="2" s="1"/>
  <c r="K227" i="2"/>
  <c r="I227" i="2" s="1"/>
  <c r="J227" i="2" s="1"/>
  <c r="E222" i="2"/>
  <c r="Q235" i="2"/>
  <c r="Q227" i="2"/>
  <c r="K239" i="2"/>
  <c r="I239" i="2" s="1"/>
  <c r="J239" i="2" s="1"/>
  <c r="K226" i="2"/>
  <c r="I226" i="2" s="1"/>
  <c r="J226" i="2" s="1"/>
  <c r="Q229" i="2"/>
  <c r="E252" i="2"/>
  <c r="K217" i="2"/>
  <c r="I217" i="2" s="1"/>
  <c r="J217" i="2" s="1"/>
  <c r="K249" i="2"/>
  <c r="I249" i="2" s="1"/>
  <c r="J249" i="2" s="1"/>
  <c r="K235" i="2"/>
  <c r="I235" i="2" s="1"/>
  <c r="J235" i="2" s="1"/>
  <c r="E220" i="2"/>
  <c r="E239" i="2"/>
  <c r="K230" i="2"/>
  <c r="I230" i="2" s="1"/>
  <c r="J230" i="2" s="1"/>
  <c r="E243" i="2"/>
  <c r="K218" i="2"/>
  <c r="I218" i="2" s="1"/>
  <c r="J218" i="2" s="1"/>
  <c r="Q230" i="2"/>
  <c r="K225" i="2"/>
  <c r="I225" i="2" s="1"/>
  <c r="J225" i="2" s="1"/>
  <c r="E210" i="2"/>
  <c r="Q210" i="2"/>
  <c r="E237" i="2"/>
  <c r="K241" i="2"/>
  <c r="I241" i="2" s="1"/>
  <c r="J241" i="2" s="1"/>
  <c r="K203" i="2"/>
  <c r="I203" i="2" s="1"/>
  <c r="J203" i="2" s="1"/>
  <c r="E211" i="2"/>
  <c r="Q226" i="2"/>
  <c r="E247" i="2"/>
  <c r="Q212" i="2"/>
  <c r="K257" i="2"/>
  <c r="I257" i="2" s="1"/>
  <c r="J257" i="2" s="1"/>
  <c r="Q206" i="2"/>
  <c r="E204" i="2"/>
  <c r="Q219" i="2"/>
  <c r="K208" i="2"/>
  <c r="I208" i="2" s="1"/>
  <c r="J208" i="2" s="1"/>
  <c r="K219" i="2"/>
  <c r="I219" i="2" s="1"/>
  <c r="J219" i="2" s="1"/>
  <c r="Q248" i="2"/>
  <c r="K223" i="2"/>
  <c r="I223" i="2" s="1"/>
  <c r="J223" i="2" s="1"/>
  <c r="Q203" i="2"/>
  <c r="K229" i="2"/>
  <c r="I229" i="2" s="1"/>
  <c r="J229" i="2" s="1"/>
  <c r="K215" i="2"/>
  <c r="I215" i="2" s="1"/>
  <c r="J215" i="2" s="1"/>
  <c r="E246" i="2"/>
  <c r="Q244" i="2"/>
  <c r="Q211" i="2"/>
  <c r="Q225" i="2"/>
  <c r="Q205" i="2"/>
  <c r="E214" i="2"/>
  <c r="E225" i="2"/>
  <c r="E209" i="2"/>
  <c r="Q207" i="2"/>
  <c r="K256" i="2"/>
  <c r="I256" i="2" s="1"/>
  <c r="J256" i="2" s="1"/>
  <c r="K205" i="2"/>
  <c r="I205" i="2" s="1"/>
  <c r="J205" i="2" s="1"/>
  <c r="E217" i="2"/>
  <c r="K243" i="2"/>
  <c r="I243" i="2" s="1"/>
  <c r="J243" i="2" s="1"/>
  <c r="K251" i="2"/>
  <c r="I251" i="2" s="1"/>
  <c r="J251" i="2" s="1"/>
  <c r="K222" i="2"/>
  <c r="I222" i="2" s="1"/>
  <c r="J222" i="2" s="1"/>
  <c r="K202" i="2"/>
  <c r="I202" i="2" s="1"/>
  <c r="J202" i="2" s="1"/>
  <c r="Q253" i="2"/>
  <c r="Q255" i="2"/>
  <c r="E226" i="2"/>
  <c r="Q238" i="2"/>
  <c r="Q245" i="2"/>
  <c r="Q254" i="2"/>
  <c r="E224" i="2"/>
  <c r="E205" i="2"/>
  <c r="K237" i="2"/>
  <c r="I237" i="2" s="1"/>
  <c r="J237" i="2" s="1"/>
  <c r="K204" i="2"/>
  <c r="I204" i="2" s="1"/>
  <c r="J204" i="2" s="1"/>
  <c r="E212" i="2"/>
  <c r="Q221" i="2"/>
  <c r="Q252" i="2"/>
  <c r="K233" i="2"/>
  <c r="I233" i="2" s="1"/>
  <c r="J233" i="2" s="1"/>
  <c r="Q208" i="2"/>
  <c r="E202" i="2"/>
  <c r="E169" i="2"/>
  <c r="E188" i="2"/>
  <c r="K145" i="2"/>
  <c r="I145" i="2" s="1"/>
  <c r="J145" i="2" s="1"/>
  <c r="E171" i="2"/>
  <c r="E143" i="2"/>
  <c r="E182" i="2"/>
  <c r="K185" i="2"/>
  <c r="I185" i="2" s="1"/>
  <c r="J185" i="2" s="1"/>
  <c r="Q154" i="2"/>
  <c r="E156" i="2"/>
  <c r="E157" i="2"/>
  <c r="K173" i="2"/>
  <c r="I173" i="2" s="1"/>
  <c r="J173" i="2" s="1"/>
  <c r="K146" i="2"/>
  <c r="I146" i="2" s="1"/>
  <c r="J146" i="2" s="1"/>
  <c r="K181" i="2"/>
  <c r="I181" i="2" s="1"/>
  <c r="J181" i="2" s="1"/>
  <c r="Q156" i="2"/>
  <c r="Q165" i="2"/>
  <c r="E174" i="2"/>
  <c r="E183" i="2"/>
  <c r="Q172" i="2"/>
  <c r="Q148" i="2"/>
  <c r="E185" i="2"/>
  <c r="K189" i="2"/>
  <c r="I189" i="2" s="1"/>
  <c r="J189" i="2" s="1"/>
  <c r="K179" i="2"/>
  <c r="I179" i="2" s="1"/>
  <c r="J179" i="2" s="1"/>
  <c r="K142" i="2"/>
  <c r="I142" i="2" s="1"/>
  <c r="J142" i="2" s="1"/>
  <c r="K154" i="2"/>
  <c r="I154" i="2" s="1"/>
  <c r="J154" i="2" s="1"/>
  <c r="K163" i="2"/>
  <c r="I163" i="2" s="1"/>
  <c r="J163" i="2" s="1"/>
  <c r="E170" i="2"/>
  <c r="K182" i="2"/>
  <c r="I182" i="2" s="1"/>
  <c r="J182" i="2" s="1"/>
  <c r="E178" i="2"/>
  <c r="K144" i="2"/>
  <c r="I144" i="2" s="1"/>
  <c r="J144" i="2" s="1"/>
  <c r="E179" i="2"/>
  <c r="K160" i="2"/>
  <c r="I160" i="2" s="1"/>
  <c r="J160" i="2" s="1"/>
  <c r="Q175" i="2"/>
  <c r="K167" i="2"/>
  <c r="I167" i="2" s="1"/>
  <c r="J167" i="2" s="1"/>
  <c r="Q180" i="2"/>
  <c r="E160" i="2"/>
  <c r="K190" i="2"/>
  <c r="I190" i="2" s="1"/>
  <c r="J190" i="2" s="1"/>
  <c r="E175" i="2"/>
  <c r="K137" i="2"/>
  <c r="I137" i="2" s="1"/>
  <c r="J137" i="2" s="1"/>
  <c r="K138" i="2"/>
  <c r="I138" i="2" s="1"/>
  <c r="J138" i="2" s="1"/>
  <c r="E165" i="2"/>
  <c r="E190" i="2"/>
  <c r="Q187" i="2"/>
  <c r="K157" i="2"/>
  <c r="I157" i="2" s="1"/>
  <c r="J157" i="2" s="1"/>
  <c r="Q145" i="2"/>
  <c r="K153" i="2"/>
  <c r="I153" i="2" s="1"/>
  <c r="J153" i="2" s="1"/>
  <c r="K164" i="2"/>
  <c r="I164" i="2" s="1"/>
  <c r="J164" i="2" s="1"/>
  <c r="Q177" i="2"/>
  <c r="Q168" i="2"/>
  <c r="K149" i="2"/>
  <c r="I149" i="2" s="1"/>
  <c r="J149" i="2" s="1"/>
  <c r="K188" i="2"/>
  <c r="I188" i="2" s="1"/>
  <c r="J188" i="2" s="1"/>
  <c r="Q179" i="2"/>
  <c r="Q176" i="2"/>
  <c r="E153" i="2"/>
  <c r="K161" i="2"/>
  <c r="I161" i="2" s="1"/>
  <c r="J161" i="2" s="1"/>
  <c r="K150" i="2"/>
  <c r="I150" i="2" s="1"/>
  <c r="J150" i="2" s="1"/>
  <c r="K148" i="2"/>
  <c r="I148" i="2" s="1"/>
  <c r="J148" i="2" s="1"/>
  <c r="E151" i="2"/>
  <c r="K187" i="2"/>
  <c r="I187" i="2" s="1"/>
  <c r="J187" i="2" s="1"/>
  <c r="E172" i="2"/>
  <c r="Q163" i="2"/>
  <c r="K169" i="2"/>
  <c r="I169" i="2" s="1"/>
  <c r="J169" i="2" s="1"/>
  <c r="K159" i="2"/>
  <c r="I159" i="2" s="1"/>
  <c r="J159" i="2" s="1"/>
  <c r="E189" i="2"/>
  <c r="K152" i="2"/>
  <c r="I152" i="2" s="1"/>
  <c r="J152" i="2" s="1"/>
  <c r="K175" i="2"/>
  <c r="I175" i="2" s="1"/>
  <c r="J175" i="2" s="1"/>
  <c r="Q157" i="2"/>
  <c r="K166" i="2"/>
  <c r="I166" i="2" s="1"/>
  <c r="J166" i="2" s="1"/>
  <c r="K171" i="2"/>
  <c r="I171" i="2" s="1"/>
  <c r="J171" i="2" s="1"/>
  <c r="Q188" i="2"/>
  <c r="E166" i="2"/>
  <c r="E138" i="2"/>
  <c r="K180" i="2"/>
  <c r="I180" i="2" s="1"/>
  <c r="J180" i="2" s="1"/>
  <c r="E168" i="2"/>
  <c r="K158" i="2"/>
  <c r="I158" i="2" s="1"/>
  <c r="J158" i="2" s="1"/>
  <c r="Q171" i="2"/>
  <c r="Q186" i="2"/>
  <c r="E163" i="2"/>
  <c r="K156" i="2"/>
  <c r="I156" i="2" s="1"/>
  <c r="J156" i="2" s="1"/>
  <c r="K165" i="2"/>
  <c r="I165" i="2" s="1"/>
  <c r="J165" i="2" s="1"/>
  <c r="E136" i="2"/>
  <c r="Q136" i="2"/>
  <c r="K136" i="2"/>
  <c r="I136" i="2" s="1"/>
  <c r="J136" i="2" s="1"/>
  <c r="Q268" i="2"/>
  <c r="Q202" i="2"/>
  <c r="C4" i="1"/>
  <c r="C2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1" i="2"/>
  <c r="L22" i="2"/>
  <c r="L23" i="2"/>
  <c r="L24" i="2"/>
  <c r="L25" i="2"/>
  <c r="L26" i="2"/>
  <c r="L27" i="2"/>
  <c r="L28" i="2"/>
  <c r="L29" i="2"/>
  <c r="L30" i="2"/>
  <c r="L31" i="2"/>
  <c r="L34" i="2"/>
  <c r="L35" i="2"/>
  <c r="L36" i="2"/>
  <c r="L37" i="2"/>
  <c r="L38" i="2"/>
  <c r="L55" i="2"/>
  <c r="L56" i="2"/>
  <c r="L57" i="2"/>
  <c r="L58" i="2"/>
  <c r="L59" i="2"/>
  <c r="W61" i="2"/>
  <c r="X61" i="2"/>
  <c r="Z61" i="2"/>
  <c r="AA61" i="2"/>
  <c r="AB61" i="2"/>
  <c r="AC61" i="2"/>
  <c r="AD61" i="2"/>
  <c r="AF61" i="2"/>
  <c r="AG61" i="2"/>
  <c r="AH61" i="2"/>
  <c r="AJ61" i="2"/>
  <c r="AK61" i="2"/>
  <c r="AL61" i="2"/>
  <c r="R62" i="2"/>
  <c r="R63" i="2"/>
  <c r="R64" i="2"/>
  <c r="R65" i="2"/>
  <c r="R66" i="2"/>
  <c r="C68" i="2"/>
  <c r="F126" i="2"/>
  <c r="G126" i="2"/>
  <c r="N126" i="2"/>
  <c r="L126" i="2" s="1"/>
  <c r="R126" i="2"/>
  <c r="S126" i="2"/>
  <c r="W127" i="2"/>
  <c r="X127" i="2"/>
  <c r="Z127" i="2"/>
  <c r="AA127" i="2"/>
  <c r="AB127" i="2"/>
  <c r="AC127" i="2"/>
  <c r="AD127" i="2"/>
  <c r="AF127" i="2"/>
  <c r="AG127" i="2"/>
  <c r="AH127" i="2"/>
  <c r="AJ127" i="2"/>
  <c r="AK127" i="2"/>
  <c r="AL127" i="2"/>
  <c r="R128" i="2"/>
  <c r="R129" i="2"/>
  <c r="R130" i="2"/>
  <c r="R131" i="2"/>
  <c r="R132" i="2"/>
  <c r="C134" i="2"/>
  <c r="W193" i="2"/>
  <c r="X193" i="2"/>
  <c r="Z193" i="2"/>
  <c r="AA193" i="2"/>
  <c r="AB193" i="2"/>
  <c r="AC193" i="2"/>
  <c r="AD193" i="2"/>
  <c r="AF193" i="2"/>
  <c r="AG193" i="2"/>
  <c r="AH193" i="2"/>
  <c r="AJ193" i="2"/>
  <c r="AK193" i="2"/>
  <c r="AL193" i="2"/>
  <c r="R194" i="2"/>
  <c r="R195" i="2"/>
  <c r="R196" i="2"/>
  <c r="R197" i="2"/>
  <c r="R198" i="2"/>
  <c r="C200" i="2"/>
  <c r="W259" i="2"/>
  <c r="X259" i="2"/>
  <c r="Z259" i="2"/>
  <c r="AA259" i="2"/>
  <c r="AB259" i="2"/>
  <c r="AC259" i="2"/>
  <c r="AD259" i="2"/>
  <c r="AF259" i="2"/>
  <c r="AG259" i="2"/>
  <c r="AH259" i="2"/>
  <c r="AJ259" i="2"/>
  <c r="AK259" i="2"/>
  <c r="AL259" i="2"/>
  <c r="R260" i="2"/>
  <c r="R261" i="2"/>
  <c r="R262" i="2"/>
  <c r="R263" i="2"/>
  <c r="R264" i="2"/>
  <c r="C266" i="2"/>
  <c r="W325" i="2"/>
  <c r="X325" i="2"/>
  <c r="Z325" i="2"/>
  <c r="AA325" i="2"/>
  <c r="AB325" i="2"/>
  <c r="AC325" i="2"/>
  <c r="AD325" i="2"/>
  <c r="AF325" i="2"/>
  <c r="AG325" i="2"/>
  <c r="AH325" i="2"/>
  <c r="AJ325" i="2"/>
  <c r="AK325" i="2"/>
  <c r="AL325" i="2"/>
  <c r="R326" i="2"/>
  <c r="R327" i="2"/>
  <c r="R328" i="2"/>
  <c r="R329" i="2"/>
  <c r="R330" i="2"/>
  <c r="C332" i="2"/>
  <c r="R392" i="2"/>
  <c r="R393" i="2"/>
  <c r="R394" i="2"/>
  <c r="R395" i="2"/>
  <c r="R396" i="2"/>
  <c r="P324" i="2" l="1"/>
  <c r="O324" i="2" s="1"/>
  <c r="P142" i="2"/>
  <c r="O142" i="2" s="1"/>
  <c r="P192" i="2"/>
  <c r="O192" i="2" s="1"/>
  <c r="Q126" i="2"/>
  <c r="D258" i="2"/>
  <c r="B258" i="2" s="1"/>
  <c r="C258" i="2" s="1"/>
  <c r="P190" i="2"/>
  <c r="O190" i="2" s="1"/>
  <c r="P159" i="2"/>
  <c r="O159" i="2" s="1"/>
  <c r="P138" i="2"/>
  <c r="O138" i="2" s="1"/>
  <c r="D324" i="2"/>
  <c r="B324" i="2" s="1"/>
  <c r="C324" i="2" s="1"/>
  <c r="P161" i="2"/>
  <c r="O161" i="2" s="1"/>
  <c r="E126" i="2"/>
  <c r="P322" i="2"/>
  <c r="O322" i="2" s="1"/>
  <c r="P258" i="2"/>
  <c r="O258" i="2" s="1"/>
  <c r="D192" i="2"/>
  <c r="B192" i="2" s="1"/>
  <c r="C192" i="2" s="1"/>
  <c r="P164" i="2"/>
  <c r="O164" i="2" s="1"/>
  <c r="P191" i="2"/>
  <c r="O191" i="2" s="1"/>
  <c r="K76" i="2"/>
  <c r="I76" i="2" s="1"/>
  <c r="J76" i="2" s="1"/>
  <c r="K126" i="2"/>
  <c r="I126" i="2" s="1"/>
  <c r="J126" i="2" s="1"/>
  <c r="P323" i="2"/>
  <c r="O323" i="2" s="1"/>
  <c r="P303" i="2"/>
  <c r="O303" i="2" s="1"/>
  <c r="K103" i="2"/>
  <c r="I103" i="2" s="1"/>
  <c r="J103" i="2" s="1"/>
  <c r="K95" i="2"/>
  <c r="I95" i="2" s="1"/>
  <c r="J95" i="2" s="1"/>
  <c r="P286" i="2"/>
  <c r="O286" i="2" s="1"/>
  <c r="P235" i="2"/>
  <c r="O235" i="2" s="1"/>
  <c r="P210" i="2"/>
  <c r="O210" i="2" s="1"/>
  <c r="P250" i="2"/>
  <c r="O250" i="2" s="1"/>
  <c r="P158" i="2"/>
  <c r="O158" i="2" s="1"/>
  <c r="P168" i="2"/>
  <c r="O168" i="2" s="1"/>
  <c r="P154" i="2"/>
  <c r="O154" i="2" s="1"/>
  <c r="P141" i="2"/>
  <c r="O141" i="2" s="1"/>
  <c r="P271" i="2"/>
  <c r="O271" i="2" s="1"/>
  <c r="P312" i="2"/>
  <c r="O312" i="2" s="1"/>
  <c r="P268" i="2"/>
  <c r="O268" i="2" s="1"/>
  <c r="P317" i="2"/>
  <c r="O317" i="2" s="1"/>
  <c r="P301" i="2"/>
  <c r="O301" i="2" s="1"/>
  <c r="D279" i="2"/>
  <c r="B279" i="2" s="1"/>
  <c r="C279" i="2" s="1"/>
  <c r="P300" i="2"/>
  <c r="O300" i="2" s="1"/>
  <c r="P316" i="2"/>
  <c r="O316" i="2" s="1"/>
  <c r="P299" i="2"/>
  <c r="O299" i="2" s="1"/>
  <c r="P281" i="2"/>
  <c r="O281" i="2" s="1"/>
  <c r="P287" i="2"/>
  <c r="O287" i="2" s="1"/>
  <c r="P285" i="2"/>
  <c r="O285" i="2" s="1"/>
  <c r="P302" i="2"/>
  <c r="O302" i="2" s="1"/>
  <c r="P311" i="2"/>
  <c r="O311" i="2" s="1"/>
  <c r="P234" i="2"/>
  <c r="O234" i="2" s="1"/>
  <c r="P220" i="2"/>
  <c r="O220" i="2" s="1"/>
  <c r="P233" i="2"/>
  <c r="O233" i="2" s="1"/>
  <c r="P251" i="2"/>
  <c r="O251" i="2" s="1"/>
  <c r="P171" i="2"/>
  <c r="O171" i="2" s="1"/>
  <c r="P140" i="2"/>
  <c r="O140" i="2" s="1"/>
  <c r="P185" i="2"/>
  <c r="O185" i="2" s="1"/>
  <c r="P182" i="2"/>
  <c r="O182" i="2" s="1"/>
  <c r="P184" i="2"/>
  <c r="O184" i="2" s="1"/>
  <c r="D166" i="2"/>
  <c r="B166" i="2" s="1"/>
  <c r="C166" i="2" s="1"/>
  <c r="P144" i="2"/>
  <c r="O144" i="2" s="1"/>
  <c r="P167" i="2"/>
  <c r="O167" i="2" s="1"/>
  <c r="P162" i="2"/>
  <c r="O162" i="2" s="1"/>
  <c r="K89" i="2"/>
  <c r="I89" i="2" s="1"/>
  <c r="J89" i="2" s="1"/>
  <c r="K74" i="2"/>
  <c r="I74" i="2" s="1"/>
  <c r="J74" i="2" s="1"/>
  <c r="Y127" i="2"/>
  <c r="F82" i="2"/>
  <c r="F102" i="2"/>
  <c r="F86" i="2"/>
  <c r="G78" i="2"/>
  <c r="G113" i="2"/>
  <c r="F110" i="2"/>
  <c r="G115" i="2"/>
  <c r="F101" i="2"/>
  <c r="G94" i="2"/>
  <c r="G111" i="2"/>
  <c r="F99" i="2"/>
  <c r="F123" i="2"/>
  <c r="F116" i="2"/>
  <c r="F88" i="2"/>
  <c r="G95" i="2"/>
  <c r="G125" i="2"/>
  <c r="F97" i="2"/>
  <c r="G90" i="2"/>
  <c r="G103" i="2"/>
  <c r="F98" i="2"/>
  <c r="G96" i="2"/>
  <c r="G123" i="2"/>
  <c r="F115" i="2"/>
  <c r="F95" i="2"/>
  <c r="F91" i="2"/>
  <c r="F93" i="2"/>
  <c r="G81" i="2"/>
  <c r="G124" i="2"/>
  <c r="F74" i="2"/>
  <c r="F87" i="2"/>
  <c r="F72" i="2"/>
  <c r="G70" i="2"/>
  <c r="G120" i="2"/>
  <c r="F90" i="2"/>
  <c r="G116" i="2"/>
  <c r="F121" i="2"/>
  <c r="F104" i="2"/>
  <c r="G98" i="2"/>
  <c r="F81" i="2"/>
  <c r="F125" i="2"/>
  <c r="G89" i="2"/>
  <c r="G118" i="2"/>
  <c r="F120" i="2"/>
  <c r="F85" i="2"/>
  <c r="F89" i="2"/>
  <c r="G71" i="2"/>
  <c r="G99" i="2"/>
  <c r="G93" i="2"/>
  <c r="E93" i="2" s="1"/>
  <c r="G105" i="2"/>
  <c r="F73" i="2"/>
  <c r="F117" i="2"/>
  <c r="F100" i="2"/>
  <c r="F84" i="2"/>
  <c r="G104" i="2"/>
  <c r="F78" i="2"/>
  <c r="G73" i="2"/>
  <c r="F76" i="2"/>
  <c r="G76" i="2"/>
  <c r="G101" i="2"/>
  <c r="G72" i="2"/>
  <c r="G119" i="2"/>
  <c r="G79" i="2"/>
  <c r="F79" i="2"/>
  <c r="F109" i="2"/>
  <c r="G80" i="2"/>
  <c r="F71" i="2"/>
  <c r="F108" i="2"/>
  <c r="F113" i="2"/>
  <c r="G85" i="2"/>
  <c r="G88" i="2"/>
  <c r="E88" i="2" s="1"/>
  <c r="G84" i="2"/>
  <c r="F70" i="2"/>
  <c r="F111" i="2"/>
  <c r="F75" i="2"/>
  <c r="G122" i="2"/>
  <c r="F77" i="2"/>
  <c r="F118" i="2"/>
  <c r="G87" i="2"/>
  <c r="G109" i="2"/>
  <c r="F96" i="2"/>
  <c r="G106" i="2"/>
  <c r="G97" i="2"/>
  <c r="G121" i="2"/>
  <c r="G100" i="2"/>
  <c r="F119" i="2"/>
  <c r="F94" i="2"/>
  <c r="G112" i="2"/>
  <c r="G117" i="2"/>
  <c r="G77" i="2"/>
  <c r="G114" i="2"/>
  <c r="F122" i="2"/>
  <c r="G107" i="2"/>
  <c r="G92" i="2"/>
  <c r="F80" i="2"/>
  <c r="F106" i="2"/>
  <c r="G82" i="2"/>
  <c r="G102" i="2"/>
  <c r="G86" i="2"/>
  <c r="E86" i="2" s="1"/>
  <c r="G75" i="2"/>
  <c r="E75" i="2" s="1"/>
  <c r="F114" i="2"/>
  <c r="F112" i="2"/>
  <c r="F107" i="2"/>
  <c r="G110" i="2"/>
  <c r="G91" i="2"/>
  <c r="E91" i="2" s="1"/>
  <c r="G74" i="2"/>
  <c r="G83" i="2"/>
  <c r="F103" i="2"/>
  <c r="G108" i="2"/>
  <c r="F124" i="2"/>
  <c r="F92" i="2"/>
  <c r="F83" i="2"/>
  <c r="F105" i="2"/>
  <c r="D162" i="2"/>
  <c r="B162" i="2" s="1"/>
  <c r="C162" i="2" s="1"/>
  <c r="P274" i="2"/>
  <c r="O274" i="2" s="1"/>
  <c r="P170" i="2"/>
  <c r="O170" i="2" s="1"/>
  <c r="D181" i="2"/>
  <c r="B181" i="2" s="1"/>
  <c r="C181" i="2" s="1"/>
  <c r="K81" i="2"/>
  <c r="I81" i="2" s="1"/>
  <c r="J81" i="2" s="1"/>
  <c r="D150" i="2"/>
  <c r="B150" i="2" s="1"/>
  <c r="C150" i="2" s="1"/>
  <c r="K112" i="2"/>
  <c r="I112" i="2" s="1"/>
  <c r="J112" i="2" s="1"/>
  <c r="D163" i="2"/>
  <c r="B163" i="2" s="1"/>
  <c r="C163" i="2" s="1"/>
  <c r="D147" i="2"/>
  <c r="B147" i="2" s="1"/>
  <c r="C147" i="2" s="1"/>
  <c r="D310" i="2"/>
  <c r="B310" i="2" s="1"/>
  <c r="C310" i="2" s="1"/>
  <c r="D173" i="2"/>
  <c r="B173" i="2" s="1"/>
  <c r="C173" i="2" s="1"/>
  <c r="D302" i="2"/>
  <c r="B302" i="2" s="1"/>
  <c r="C302" i="2" s="1"/>
  <c r="K101" i="2"/>
  <c r="I101" i="2" s="1"/>
  <c r="J101" i="2" s="1"/>
  <c r="K125" i="2"/>
  <c r="I125" i="2" s="1"/>
  <c r="J125" i="2" s="1"/>
  <c r="P155" i="2"/>
  <c r="O155" i="2" s="1"/>
  <c r="K70" i="2"/>
  <c r="I70" i="2" s="1"/>
  <c r="J70" i="2" s="1"/>
  <c r="K110" i="2"/>
  <c r="I110" i="2" s="1"/>
  <c r="J110" i="2" s="1"/>
  <c r="D301" i="2"/>
  <c r="B301" i="2" s="1"/>
  <c r="C301" i="2" s="1"/>
  <c r="P189" i="2"/>
  <c r="O189" i="2" s="1"/>
  <c r="D170" i="2"/>
  <c r="B170" i="2" s="1"/>
  <c r="C170" i="2" s="1"/>
  <c r="K122" i="2"/>
  <c r="I122" i="2" s="1"/>
  <c r="J122" i="2" s="1"/>
  <c r="K98" i="2"/>
  <c r="I98" i="2" s="1"/>
  <c r="J98" i="2" s="1"/>
  <c r="P279" i="2"/>
  <c r="O279" i="2" s="1"/>
  <c r="P290" i="2"/>
  <c r="O290" i="2" s="1"/>
  <c r="P236" i="2"/>
  <c r="O236" i="2" s="1"/>
  <c r="P318" i="2"/>
  <c r="O318" i="2" s="1"/>
  <c r="K119" i="2"/>
  <c r="I119" i="2" s="1"/>
  <c r="J119" i="2" s="1"/>
  <c r="K77" i="2"/>
  <c r="I77" i="2" s="1"/>
  <c r="J77" i="2" s="1"/>
  <c r="D153" i="2"/>
  <c r="B153" i="2" s="1"/>
  <c r="C153" i="2" s="1"/>
  <c r="P283" i="2"/>
  <c r="O283" i="2" s="1"/>
  <c r="S108" i="2"/>
  <c r="S116" i="2"/>
  <c r="R122" i="2"/>
  <c r="S70" i="2"/>
  <c r="S81" i="2"/>
  <c r="S110" i="2"/>
  <c r="R78" i="2"/>
  <c r="R91" i="2"/>
  <c r="S92" i="2"/>
  <c r="S115" i="2"/>
  <c r="R111" i="2"/>
  <c r="R90" i="2"/>
  <c r="R94" i="2"/>
  <c r="S120" i="2"/>
  <c r="S77" i="2"/>
  <c r="S98" i="2"/>
  <c r="R115" i="2"/>
  <c r="R106" i="2"/>
  <c r="R70" i="2"/>
  <c r="S117" i="2"/>
  <c r="S107" i="2"/>
  <c r="S90" i="2"/>
  <c r="R87" i="2"/>
  <c r="R100" i="2"/>
  <c r="R118" i="2"/>
  <c r="S95" i="2"/>
  <c r="S112" i="2"/>
  <c r="R109" i="2"/>
  <c r="R81" i="2"/>
  <c r="S118" i="2"/>
  <c r="R74" i="2"/>
  <c r="S75" i="2"/>
  <c r="S119" i="2"/>
  <c r="S71" i="2"/>
  <c r="R120" i="2"/>
  <c r="S80" i="2"/>
  <c r="S106" i="2"/>
  <c r="S103" i="2"/>
  <c r="R107" i="2"/>
  <c r="R117" i="2"/>
  <c r="R88" i="2"/>
  <c r="S84" i="2"/>
  <c r="R92" i="2"/>
  <c r="S109" i="2"/>
  <c r="S124" i="2"/>
  <c r="R119" i="2"/>
  <c r="R125" i="2"/>
  <c r="R114" i="2"/>
  <c r="S96" i="2"/>
  <c r="S91" i="2"/>
  <c r="R82" i="2"/>
  <c r="R101" i="2"/>
  <c r="S89" i="2"/>
  <c r="S114" i="2"/>
  <c r="S101" i="2"/>
  <c r="R105" i="2"/>
  <c r="S73" i="2"/>
  <c r="S113" i="2"/>
  <c r="R98" i="2"/>
  <c r="R85" i="2"/>
  <c r="R84" i="2"/>
  <c r="S97" i="2"/>
  <c r="S82" i="2"/>
  <c r="S72" i="2"/>
  <c r="R108" i="2"/>
  <c r="R124" i="2"/>
  <c r="R89" i="2"/>
  <c r="R76" i="2"/>
  <c r="S100" i="2"/>
  <c r="S125" i="2"/>
  <c r="S85" i="2"/>
  <c r="S105" i="2"/>
  <c r="S94" i="2"/>
  <c r="Q94" i="2" s="1"/>
  <c r="R99" i="2"/>
  <c r="R80" i="2"/>
  <c r="S79" i="2"/>
  <c r="R123" i="2"/>
  <c r="R96" i="2"/>
  <c r="S74" i="2"/>
  <c r="S104" i="2"/>
  <c r="S102" i="2"/>
  <c r="R71" i="2"/>
  <c r="S78" i="2"/>
  <c r="R113" i="2"/>
  <c r="R95" i="2"/>
  <c r="R86" i="2"/>
  <c r="R79" i="2"/>
  <c r="S88" i="2"/>
  <c r="R97" i="2"/>
  <c r="R93" i="2"/>
  <c r="R83" i="2"/>
  <c r="R121" i="2"/>
  <c r="S99" i="2"/>
  <c r="R103" i="2"/>
  <c r="S86" i="2"/>
  <c r="S93" i="2"/>
  <c r="R110" i="2"/>
  <c r="S83" i="2"/>
  <c r="S87" i="2"/>
  <c r="S76" i="2"/>
  <c r="R72" i="2"/>
  <c r="R102" i="2"/>
  <c r="R77" i="2"/>
  <c r="R73" i="2"/>
  <c r="S123" i="2"/>
  <c r="R75" i="2"/>
  <c r="S111" i="2"/>
  <c r="R116" i="2"/>
  <c r="S122" i="2"/>
  <c r="S121" i="2"/>
  <c r="R112" i="2"/>
  <c r="R104" i="2"/>
  <c r="K109" i="2"/>
  <c r="I109" i="2" s="1"/>
  <c r="J109" i="2" s="1"/>
  <c r="K96" i="2"/>
  <c r="I96" i="2" s="1"/>
  <c r="J96" i="2" s="1"/>
  <c r="K99" i="2"/>
  <c r="I99" i="2" s="1"/>
  <c r="J99" i="2" s="1"/>
  <c r="P160" i="2"/>
  <c r="O160" i="2" s="1"/>
  <c r="D214" i="2"/>
  <c r="B214" i="2" s="1"/>
  <c r="C214" i="2" s="1"/>
  <c r="D236" i="2"/>
  <c r="B236" i="2" s="1"/>
  <c r="C236" i="2" s="1"/>
  <c r="K104" i="2"/>
  <c r="I104" i="2" s="1"/>
  <c r="J104" i="2" s="1"/>
  <c r="D297" i="2"/>
  <c r="B297" i="2" s="1"/>
  <c r="C297" i="2" s="1"/>
  <c r="D283" i="2"/>
  <c r="B283" i="2" s="1"/>
  <c r="C283" i="2" s="1"/>
  <c r="P314" i="2"/>
  <c r="O314" i="2" s="1"/>
  <c r="P277" i="2"/>
  <c r="O277" i="2" s="1"/>
  <c r="P270" i="2"/>
  <c r="O270" i="2" s="1"/>
  <c r="P278" i="2"/>
  <c r="O278" i="2" s="1"/>
  <c r="D285" i="2"/>
  <c r="B285" i="2" s="1"/>
  <c r="C285" i="2" s="1"/>
  <c r="P280" i="2"/>
  <c r="O280" i="2" s="1"/>
  <c r="D294" i="2"/>
  <c r="B294" i="2" s="1"/>
  <c r="C294" i="2" s="1"/>
  <c r="P293" i="2"/>
  <c r="O293" i="2" s="1"/>
  <c r="P306" i="2"/>
  <c r="O306" i="2" s="1"/>
  <c r="D313" i="2"/>
  <c r="B313" i="2" s="1"/>
  <c r="C313" i="2" s="1"/>
  <c r="P298" i="2"/>
  <c r="O298" i="2" s="1"/>
  <c r="D298" i="2"/>
  <c r="B298" i="2" s="1"/>
  <c r="C298" i="2" s="1"/>
  <c r="P313" i="2"/>
  <c r="O313" i="2" s="1"/>
  <c r="D307" i="2"/>
  <c r="B307" i="2" s="1"/>
  <c r="C307" i="2" s="1"/>
  <c r="P288" i="2"/>
  <c r="O288" i="2" s="1"/>
  <c r="P321" i="2"/>
  <c r="O321" i="2" s="1"/>
  <c r="P295" i="2"/>
  <c r="O295" i="2" s="1"/>
  <c r="P227" i="2"/>
  <c r="O227" i="2" s="1"/>
  <c r="P241" i="2"/>
  <c r="O241" i="2" s="1"/>
  <c r="P180" i="2"/>
  <c r="O180" i="2" s="1"/>
  <c r="D176" i="2"/>
  <c r="B176" i="2" s="1"/>
  <c r="C176" i="2" s="1"/>
  <c r="D186" i="2"/>
  <c r="B186" i="2" s="1"/>
  <c r="C186" i="2" s="1"/>
  <c r="D190" i="2"/>
  <c r="B190" i="2" s="1"/>
  <c r="C190" i="2" s="1"/>
  <c r="P165" i="2"/>
  <c r="O165" i="2" s="1"/>
  <c r="P139" i="2"/>
  <c r="O139" i="2" s="1"/>
  <c r="P186" i="2"/>
  <c r="O186" i="2" s="1"/>
  <c r="D167" i="2"/>
  <c r="B167" i="2" s="1"/>
  <c r="C167" i="2" s="1"/>
  <c r="D179" i="2"/>
  <c r="B179" i="2" s="1"/>
  <c r="C179" i="2" s="1"/>
  <c r="P188" i="2"/>
  <c r="O188" i="2" s="1"/>
  <c r="D140" i="2"/>
  <c r="B140" i="2" s="1"/>
  <c r="C140" i="2" s="1"/>
  <c r="P145" i="2"/>
  <c r="O145" i="2" s="1"/>
  <c r="D137" i="2"/>
  <c r="B137" i="2" s="1"/>
  <c r="C137" i="2" s="1"/>
  <c r="P172" i="2"/>
  <c r="O172" i="2" s="1"/>
  <c r="D156" i="2"/>
  <c r="B156" i="2" s="1"/>
  <c r="C156" i="2" s="1"/>
  <c r="P143" i="2"/>
  <c r="O143" i="2" s="1"/>
  <c r="K75" i="2"/>
  <c r="I75" i="2" s="1"/>
  <c r="J75" i="2" s="1"/>
  <c r="K72" i="2"/>
  <c r="I72" i="2" s="1"/>
  <c r="J72" i="2" s="1"/>
  <c r="K105" i="2"/>
  <c r="I105" i="2" s="1"/>
  <c r="J105" i="2" s="1"/>
  <c r="K97" i="2"/>
  <c r="I97" i="2" s="1"/>
  <c r="J97" i="2" s="1"/>
  <c r="K84" i="2"/>
  <c r="I84" i="2" s="1"/>
  <c r="J84" i="2" s="1"/>
  <c r="K116" i="2"/>
  <c r="I116" i="2" s="1"/>
  <c r="J116" i="2" s="1"/>
  <c r="K121" i="2"/>
  <c r="I121" i="2" s="1"/>
  <c r="J121" i="2" s="1"/>
  <c r="K118" i="2"/>
  <c r="I118" i="2" s="1"/>
  <c r="J118" i="2" s="1"/>
  <c r="K90" i="2"/>
  <c r="I90" i="2" s="1"/>
  <c r="J90" i="2" s="1"/>
  <c r="K93" i="2"/>
  <c r="I93" i="2" s="1"/>
  <c r="J93" i="2" s="1"/>
  <c r="K83" i="2"/>
  <c r="I83" i="2" s="1"/>
  <c r="J83" i="2" s="1"/>
  <c r="K87" i="2"/>
  <c r="I87" i="2" s="1"/>
  <c r="J87" i="2" s="1"/>
  <c r="K115" i="2"/>
  <c r="I115" i="2" s="1"/>
  <c r="J115" i="2" s="1"/>
  <c r="K111" i="2"/>
  <c r="I111" i="2" s="1"/>
  <c r="J111" i="2" s="1"/>
  <c r="K82" i="2"/>
  <c r="I82" i="2" s="1"/>
  <c r="J82" i="2" s="1"/>
  <c r="K73" i="2"/>
  <c r="I73" i="2" s="1"/>
  <c r="J73" i="2" s="1"/>
  <c r="K106" i="2"/>
  <c r="I106" i="2" s="1"/>
  <c r="J106" i="2" s="1"/>
  <c r="K80" i="2"/>
  <c r="I80" i="2" s="1"/>
  <c r="J80" i="2" s="1"/>
  <c r="K107" i="2"/>
  <c r="I107" i="2" s="1"/>
  <c r="J107" i="2" s="1"/>
  <c r="K117" i="2"/>
  <c r="I117" i="2" s="1"/>
  <c r="J117" i="2" s="1"/>
  <c r="K113" i="2"/>
  <c r="I113" i="2" s="1"/>
  <c r="J113" i="2" s="1"/>
  <c r="K92" i="2"/>
  <c r="I92" i="2" s="1"/>
  <c r="J92" i="2" s="1"/>
  <c r="K94" i="2"/>
  <c r="I94" i="2" s="1"/>
  <c r="J94" i="2" s="1"/>
  <c r="K120" i="2"/>
  <c r="I120" i="2" s="1"/>
  <c r="J120" i="2" s="1"/>
  <c r="K79" i="2"/>
  <c r="I79" i="2" s="1"/>
  <c r="J79" i="2" s="1"/>
  <c r="K102" i="2"/>
  <c r="I102" i="2" s="1"/>
  <c r="J102" i="2" s="1"/>
  <c r="K71" i="2"/>
  <c r="I71" i="2" s="1"/>
  <c r="J71" i="2" s="1"/>
  <c r="K85" i="2"/>
  <c r="I85" i="2" s="1"/>
  <c r="J85" i="2" s="1"/>
  <c r="K100" i="2"/>
  <c r="I100" i="2" s="1"/>
  <c r="J100" i="2" s="1"/>
  <c r="K108" i="2"/>
  <c r="I108" i="2" s="1"/>
  <c r="J108" i="2" s="1"/>
  <c r="K88" i="2"/>
  <c r="I88" i="2" s="1"/>
  <c r="J88" i="2" s="1"/>
  <c r="K91" i="2"/>
  <c r="I91" i="2" s="1"/>
  <c r="J91" i="2" s="1"/>
  <c r="K123" i="2"/>
  <c r="I123" i="2" s="1"/>
  <c r="J123" i="2" s="1"/>
  <c r="K78" i="2"/>
  <c r="I78" i="2" s="1"/>
  <c r="J78" i="2" s="1"/>
  <c r="K114" i="2"/>
  <c r="I114" i="2" s="1"/>
  <c r="J114" i="2" s="1"/>
  <c r="K124" i="2"/>
  <c r="I124" i="2" s="1"/>
  <c r="J124" i="2" s="1"/>
  <c r="K86" i="2"/>
  <c r="I86" i="2" s="1"/>
  <c r="J86" i="2" s="1"/>
  <c r="D296" i="2"/>
  <c r="B296" i="2" s="1"/>
  <c r="C296" i="2" s="1"/>
  <c r="D287" i="2"/>
  <c r="B287" i="2" s="1"/>
  <c r="C287" i="2" s="1"/>
  <c r="D292" i="2"/>
  <c r="B292" i="2" s="1"/>
  <c r="C292" i="2" s="1"/>
  <c r="D282" i="2"/>
  <c r="B282" i="2" s="1"/>
  <c r="C282" i="2" s="1"/>
  <c r="D278" i="2"/>
  <c r="B278" i="2" s="1"/>
  <c r="C278" i="2" s="1"/>
  <c r="D277" i="2"/>
  <c r="B277" i="2" s="1"/>
  <c r="C277" i="2" s="1"/>
  <c r="D275" i="2"/>
  <c r="B275" i="2" s="1"/>
  <c r="C275" i="2" s="1"/>
  <c r="P315" i="2"/>
  <c r="O315" i="2" s="1"/>
  <c r="P294" i="2"/>
  <c r="O294" i="2" s="1"/>
  <c r="D321" i="2"/>
  <c r="B321" i="2" s="1"/>
  <c r="C321" i="2" s="1"/>
  <c r="D311" i="2"/>
  <c r="B311" i="2" s="1"/>
  <c r="C311" i="2" s="1"/>
  <c r="D308" i="2"/>
  <c r="B308" i="2" s="1"/>
  <c r="C308" i="2" s="1"/>
  <c r="P289" i="2"/>
  <c r="O289" i="2" s="1"/>
  <c r="P282" i="2"/>
  <c r="O282" i="2" s="1"/>
  <c r="D273" i="2"/>
  <c r="B273" i="2" s="1"/>
  <c r="C273" i="2" s="1"/>
  <c r="P305" i="2"/>
  <c r="O305" i="2" s="1"/>
  <c r="P308" i="2"/>
  <c r="O308" i="2" s="1"/>
  <c r="P284" i="2"/>
  <c r="O284" i="2" s="1"/>
  <c r="D312" i="2"/>
  <c r="B312" i="2" s="1"/>
  <c r="C312" i="2" s="1"/>
  <c r="P320" i="2"/>
  <c r="O320" i="2" s="1"/>
  <c r="D299" i="2"/>
  <c r="B299" i="2" s="1"/>
  <c r="C299" i="2" s="1"/>
  <c r="P319" i="2"/>
  <c r="O319" i="2" s="1"/>
  <c r="P292" i="2"/>
  <c r="O292" i="2" s="1"/>
  <c r="D293" i="2"/>
  <c r="B293" i="2" s="1"/>
  <c r="C293" i="2" s="1"/>
  <c r="P291" i="2"/>
  <c r="O291" i="2" s="1"/>
  <c r="D276" i="2"/>
  <c r="B276" i="2" s="1"/>
  <c r="C276" i="2" s="1"/>
  <c r="P275" i="2"/>
  <c r="O275" i="2" s="1"/>
  <c r="D274" i="2"/>
  <c r="B274" i="2" s="1"/>
  <c r="C274" i="2" s="1"/>
  <c r="D284" i="2"/>
  <c r="B284" i="2" s="1"/>
  <c r="C284" i="2" s="1"/>
  <c r="D271" i="2"/>
  <c r="B271" i="2" s="1"/>
  <c r="C271" i="2" s="1"/>
  <c r="D319" i="2"/>
  <c r="B319" i="2" s="1"/>
  <c r="C319" i="2" s="1"/>
  <c r="D281" i="2"/>
  <c r="B281" i="2" s="1"/>
  <c r="C281" i="2" s="1"/>
  <c r="D316" i="2"/>
  <c r="B316" i="2" s="1"/>
  <c r="C316" i="2" s="1"/>
  <c r="P304" i="2"/>
  <c r="O304" i="2" s="1"/>
  <c r="D300" i="2"/>
  <c r="B300" i="2" s="1"/>
  <c r="C300" i="2" s="1"/>
  <c r="D288" i="2"/>
  <c r="B288" i="2" s="1"/>
  <c r="C288" i="2" s="1"/>
  <c r="P307" i="2"/>
  <c r="O307" i="2" s="1"/>
  <c r="D291" i="2"/>
  <c r="B291" i="2" s="1"/>
  <c r="C291" i="2" s="1"/>
  <c r="D303" i="2"/>
  <c r="B303" i="2" s="1"/>
  <c r="C303" i="2" s="1"/>
  <c r="D270" i="2"/>
  <c r="B270" i="2" s="1"/>
  <c r="C270" i="2" s="1"/>
  <c r="D286" i="2"/>
  <c r="B286" i="2" s="1"/>
  <c r="C286" i="2" s="1"/>
  <c r="D295" i="2"/>
  <c r="B295" i="2" s="1"/>
  <c r="C295" i="2" s="1"/>
  <c r="D322" i="2"/>
  <c r="B322" i="2" s="1"/>
  <c r="C322" i="2" s="1"/>
  <c r="D314" i="2"/>
  <c r="B314" i="2" s="1"/>
  <c r="C314" i="2" s="1"/>
  <c r="D320" i="2"/>
  <c r="B320" i="2" s="1"/>
  <c r="C320" i="2" s="1"/>
  <c r="D309" i="2"/>
  <c r="B309" i="2" s="1"/>
  <c r="C309" i="2" s="1"/>
  <c r="D315" i="2"/>
  <c r="B315" i="2" s="1"/>
  <c r="C315" i="2" s="1"/>
  <c r="D317" i="2"/>
  <c r="B317" i="2" s="1"/>
  <c r="C317" i="2" s="1"/>
  <c r="D269" i="2"/>
  <c r="B269" i="2" s="1"/>
  <c r="C269" i="2" s="1"/>
  <c r="P272" i="2"/>
  <c r="O272" i="2" s="1"/>
  <c r="D268" i="2"/>
  <c r="B268" i="2" s="1"/>
  <c r="C268" i="2" s="1"/>
  <c r="D289" i="2"/>
  <c r="B289" i="2" s="1"/>
  <c r="C289" i="2" s="1"/>
  <c r="P273" i="2"/>
  <c r="O273" i="2" s="1"/>
  <c r="P309" i="2"/>
  <c r="O309" i="2" s="1"/>
  <c r="D272" i="2"/>
  <c r="B272" i="2" s="1"/>
  <c r="C272" i="2" s="1"/>
  <c r="D304" i="2"/>
  <c r="B304" i="2" s="1"/>
  <c r="C304" i="2" s="1"/>
  <c r="P297" i="2"/>
  <c r="O297" i="2" s="1"/>
  <c r="D290" i="2"/>
  <c r="B290" i="2" s="1"/>
  <c r="C290" i="2" s="1"/>
  <c r="P296" i="2"/>
  <c r="O296" i="2" s="1"/>
  <c r="D323" i="2"/>
  <c r="B323" i="2" s="1"/>
  <c r="C323" i="2" s="1"/>
  <c r="P310" i="2"/>
  <c r="O310" i="2" s="1"/>
  <c r="P269" i="2"/>
  <c r="O269" i="2" s="1"/>
  <c r="D318" i="2"/>
  <c r="B318" i="2" s="1"/>
  <c r="C318" i="2" s="1"/>
  <c r="D306" i="2"/>
  <c r="B306" i="2" s="1"/>
  <c r="C306" i="2" s="1"/>
  <c r="D280" i="2"/>
  <c r="B280" i="2" s="1"/>
  <c r="C280" i="2" s="1"/>
  <c r="D305" i="2"/>
  <c r="B305" i="2" s="1"/>
  <c r="C305" i="2" s="1"/>
  <c r="P245" i="2"/>
  <c r="O245" i="2" s="1"/>
  <c r="P237" i="2"/>
  <c r="O237" i="2" s="1"/>
  <c r="D218" i="2"/>
  <c r="B218" i="2" s="1"/>
  <c r="C218" i="2" s="1"/>
  <c r="D238" i="2"/>
  <c r="B238" i="2" s="1"/>
  <c r="C238" i="2" s="1"/>
  <c r="D207" i="2"/>
  <c r="B207" i="2" s="1"/>
  <c r="C207" i="2" s="1"/>
  <c r="D255" i="2"/>
  <c r="B255" i="2" s="1"/>
  <c r="C255" i="2" s="1"/>
  <c r="P206" i="2"/>
  <c r="O206" i="2" s="1"/>
  <c r="P249" i="2"/>
  <c r="O249" i="2" s="1"/>
  <c r="P215" i="2"/>
  <c r="O215" i="2" s="1"/>
  <c r="D209" i="2"/>
  <c r="B209" i="2" s="1"/>
  <c r="C209" i="2" s="1"/>
  <c r="P203" i="2"/>
  <c r="O203" i="2" s="1"/>
  <c r="P231" i="2"/>
  <c r="O231" i="2" s="1"/>
  <c r="D225" i="2"/>
  <c r="B225" i="2" s="1"/>
  <c r="C225" i="2" s="1"/>
  <c r="D206" i="2"/>
  <c r="B206" i="2" s="1"/>
  <c r="C206" i="2" s="1"/>
  <c r="D251" i="2"/>
  <c r="B251" i="2" s="1"/>
  <c r="C251" i="2" s="1"/>
  <c r="D239" i="2"/>
  <c r="B239" i="2" s="1"/>
  <c r="C239" i="2" s="1"/>
  <c r="P252" i="2"/>
  <c r="O252" i="2" s="1"/>
  <c r="D226" i="2"/>
  <c r="B226" i="2" s="1"/>
  <c r="C226" i="2" s="1"/>
  <c r="D216" i="2"/>
  <c r="B216" i="2" s="1"/>
  <c r="C216" i="2" s="1"/>
  <c r="D243" i="2"/>
  <c r="B243" i="2" s="1"/>
  <c r="C243" i="2" s="1"/>
  <c r="P229" i="2"/>
  <c r="O229" i="2" s="1"/>
  <c r="D235" i="2"/>
  <c r="B235" i="2" s="1"/>
  <c r="C235" i="2" s="1"/>
  <c r="P214" i="2"/>
  <c r="O214" i="2" s="1"/>
  <c r="P221" i="2"/>
  <c r="O221" i="2" s="1"/>
  <c r="P217" i="2"/>
  <c r="O217" i="2" s="1"/>
  <c r="P255" i="2"/>
  <c r="O255" i="2" s="1"/>
  <c r="P207" i="2"/>
  <c r="O207" i="2" s="1"/>
  <c r="P219" i="2"/>
  <c r="O219" i="2" s="1"/>
  <c r="P242" i="2"/>
  <c r="O242" i="2" s="1"/>
  <c r="D227" i="2"/>
  <c r="B227" i="2" s="1"/>
  <c r="C227" i="2" s="1"/>
  <c r="D234" i="2"/>
  <c r="B234" i="2" s="1"/>
  <c r="C234" i="2" s="1"/>
  <c r="D253" i="2"/>
  <c r="B253" i="2" s="1"/>
  <c r="C253" i="2" s="1"/>
  <c r="D212" i="2"/>
  <c r="B212" i="2" s="1"/>
  <c r="C212" i="2" s="1"/>
  <c r="D248" i="2"/>
  <c r="B248" i="2" s="1"/>
  <c r="C248" i="2" s="1"/>
  <c r="P253" i="2"/>
  <c r="O253" i="2" s="1"/>
  <c r="P216" i="2"/>
  <c r="O216" i="2" s="1"/>
  <c r="D204" i="2"/>
  <c r="B204" i="2" s="1"/>
  <c r="C204" i="2" s="1"/>
  <c r="D229" i="2"/>
  <c r="B229" i="2" s="1"/>
  <c r="C229" i="2" s="1"/>
  <c r="D232" i="2"/>
  <c r="B232" i="2" s="1"/>
  <c r="C232" i="2" s="1"/>
  <c r="D254" i="2"/>
  <c r="B254" i="2" s="1"/>
  <c r="C254" i="2" s="1"/>
  <c r="D244" i="2"/>
  <c r="B244" i="2" s="1"/>
  <c r="C244" i="2" s="1"/>
  <c r="P218" i="2"/>
  <c r="O218" i="2" s="1"/>
  <c r="D237" i="2"/>
  <c r="B237" i="2" s="1"/>
  <c r="C237" i="2" s="1"/>
  <c r="D220" i="2"/>
  <c r="B220" i="2" s="1"/>
  <c r="C220" i="2" s="1"/>
  <c r="P246" i="2"/>
  <c r="O246" i="2" s="1"/>
  <c r="D213" i="2"/>
  <c r="B213" i="2" s="1"/>
  <c r="C213" i="2" s="1"/>
  <c r="P247" i="2"/>
  <c r="O247" i="2" s="1"/>
  <c r="D205" i="2"/>
  <c r="B205" i="2" s="1"/>
  <c r="C205" i="2" s="1"/>
  <c r="D203" i="2"/>
  <c r="B203" i="2" s="1"/>
  <c r="C203" i="2" s="1"/>
  <c r="D231" i="2"/>
  <c r="B231" i="2" s="1"/>
  <c r="C231" i="2" s="1"/>
  <c r="P205" i="2"/>
  <c r="O205" i="2" s="1"/>
  <c r="P212" i="2"/>
  <c r="O212" i="2" s="1"/>
  <c r="D222" i="2"/>
  <c r="B222" i="2" s="1"/>
  <c r="C222" i="2" s="1"/>
  <c r="D221" i="2"/>
  <c r="B221" i="2" s="1"/>
  <c r="C221" i="2" s="1"/>
  <c r="D215" i="2"/>
  <c r="B215" i="2" s="1"/>
  <c r="C215" i="2" s="1"/>
  <c r="P222" i="2"/>
  <c r="O222" i="2" s="1"/>
  <c r="P243" i="2"/>
  <c r="O243" i="2" s="1"/>
  <c r="P239" i="2"/>
  <c r="O239" i="2" s="1"/>
  <c r="D224" i="2"/>
  <c r="B224" i="2" s="1"/>
  <c r="C224" i="2" s="1"/>
  <c r="P225" i="2"/>
  <c r="O225" i="2" s="1"/>
  <c r="P228" i="2"/>
  <c r="O228" i="2" s="1"/>
  <c r="D247" i="2"/>
  <c r="B247" i="2" s="1"/>
  <c r="C247" i="2" s="1"/>
  <c r="D210" i="2"/>
  <c r="B210" i="2" s="1"/>
  <c r="C210" i="2" s="1"/>
  <c r="P204" i="2"/>
  <c r="O204" i="2" s="1"/>
  <c r="D219" i="2"/>
  <c r="B219" i="2" s="1"/>
  <c r="C219" i="2" s="1"/>
  <c r="D228" i="2"/>
  <c r="B228" i="2" s="1"/>
  <c r="C228" i="2" s="1"/>
  <c r="D250" i="2"/>
  <c r="B250" i="2" s="1"/>
  <c r="C250" i="2" s="1"/>
  <c r="P254" i="2"/>
  <c r="O254" i="2" s="1"/>
  <c r="P211" i="2"/>
  <c r="O211" i="2" s="1"/>
  <c r="P248" i="2"/>
  <c r="O248" i="2" s="1"/>
  <c r="P224" i="2"/>
  <c r="O224" i="2" s="1"/>
  <c r="P209" i="2"/>
  <c r="O209" i="2" s="1"/>
  <c r="P213" i="2"/>
  <c r="O213" i="2" s="1"/>
  <c r="D241" i="2"/>
  <c r="B241" i="2" s="1"/>
  <c r="C241" i="2" s="1"/>
  <c r="P256" i="2"/>
  <c r="O256" i="2" s="1"/>
  <c r="P232" i="2"/>
  <c r="O232" i="2" s="1"/>
  <c r="D256" i="2"/>
  <c r="B256" i="2" s="1"/>
  <c r="C256" i="2" s="1"/>
  <c r="D233" i="2"/>
  <c r="B233" i="2" s="1"/>
  <c r="C233" i="2" s="1"/>
  <c r="D208" i="2"/>
  <c r="B208" i="2" s="1"/>
  <c r="C208" i="2" s="1"/>
  <c r="P208" i="2"/>
  <c r="O208" i="2" s="1"/>
  <c r="D217" i="2"/>
  <c r="B217" i="2" s="1"/>
  <c r="C217" i="2" s="1"/>
  <c r="P244" i="2"/>
  <c r="O244" i="2" s="1"/>
  <c r="P226" i="2"/>
  <c r="O226" i="2" s="1"/>
  <c r="P230" i="2"/>
  <c r="O230" i="2" s="1"/>
  <c r="D257" i="2"/>
  <c r="B257" i="2" s="1"/>
  <c r="C257" i="2" s="1"/>
  <c r="D240" i="2"/>
  <c r="B240" i="2" s="1"/>
  <c r="C240" i="2" s="1"/>
  <c r="D245" i="2"/>
  <c r="B245" i="2" s="1"/>
  <c r="C245" i="2" s="1"/>
  <c r="D242" i="2"/>
  <c r="B242" i="2" s="1"/>
  <c r="C242" i="2" s="1"/>
  <c r="P238" i="2"/>
  <c r="O238" i="2" s="1"/>
  <c r="D246" i="2"/>
  <c r="B246" i="2" s="1"/>
  <c r="C246" i="2" s="1"/>
  <c r="D211" i="2"/>
  <c r="B211" i="2" s="1"/>
  <c r="C211" i="2" s="1"/>
  <c r="D252" i="2"/>
  <c r="B252" i="2" s="1"/>
  <c r="C252" i="2" s="1"/>
  <c r="D230" i="2"/>
  <c r="B230" i="2" s="1"/>
  <c r="C230" i="2" s="1"/>
  <c r="P223" i="2"/>
  <c r="O223" i="2" s="1"/>
  <c r="D249" i="2"/>
  <c r="B249" i="2" s="1"/>
  <c r="C249" i="2" s="1"/>
  <c r="P240" i="2"/>
  <c r="O240" i="2" s="1"/>
  <c r="D223" i="2"/>
  <c r="B223" i="2" s="1"/>
  <c r="C223" i="2" s="1"/>
  <c r="P202" i="2"/>
  <c r="O202" i="2" s="1"/>
  <c r="D202" i="2"/>
  <c r="B202" i="2" s="1"/>
  <c r="C202" i="2" s="1"/>
  <c r="P157" i="2"/>
  <c r="O157" i="2" s="1"/>
  <c r="P163" i="2"/>
  <c r="O163" i="2" s="1"/>
  <c r="P181" i="2"/>
  <c r="O181" i="2" s="1"/>
  <c r="D184" i="2"/>
  <c r="B184" i="2" s="1"/>
  <c r="C184" i="2" s="1"/>
  <c r="D144" i="2"/>
  <c r="B144" i="2" s="1"/>
  <c r="C144" i="2" s="1"/>
  <c r="P153" i="2"/>
  <c r="O153" i="2" s="1"/>
  <c r="D174" i="2"/>
  <c r="B174" i="2" s="1"/>
  <c r="C174" i="2" s="1"/>
  <c r="D145" i="2"/>
  <c r="B145" i="2" s="1"/>
  <c r="C145" i="2" s="1"/>
  <c r="D146" i="2"/>
  <c r="B146" i="2" s="1"/>
  <c r="C146" i="2" s="1"/>
  <c r="D154" i="2"/>
  <c r="B154" i="2" s="1"/>
  <c r="C154" i="2" s="1"/>
  <c r="P173" i="2"/>
  <c r="O173" i="2" s="1"/>
  <c r="D158" i="2"/>
  <c r="B158" i="2" s="1"/>
  <c r="C158" i="2" s="1"/>
  <c r="D183" i="2"/>
  <c r="B183" i="2" s="1"/>
  <c r="C183" i="2" s="1"/>
  <c r="D155" i="2"/>
  <c r="B155" i="2" s="1"/>
  <c r="C155" i="2" s="1"/>
  <c r="P179" i="2"/>
  <c r="O179" i="2" s="1"/>
  <c r="D165" i="2"/>
  <c r="B165" i="2" s="1"/>
  <c r="C165" i="2" s="1"/>
  <c r="P175" i="2"/>
  <c r="O175" i="2" s="1"/>
  <c r="D178" i="2"/>
  <c r="B178" i="2" s="1"/>
  <c r="C178" i="2" s="1"/>
  <c r="P137" i="2"/>
  <c r="O137" i="2" s="1"/>
  <c r="P156" i="2"/>
  <c r="O156" i="2" s="1"/>
  <c r="D182" i="2"/>
  <c r="B182" i="2" s="1"/>
  <c r="C182" i="2" s="1"/>
  <c r="P183" i="2"/>
  <c r="O183" i="2" s="1"/>
  <c r="D169" i="2"/>
  <c r="B169" i="2" s="1"/>
  <c r="C169" i="2" s="1"/>
  <c r="P176" i="2"/>
  <c r="O176" i="2" s="1"/>
  <c r="D168" i="2"/>
  <c r="B168" i="2" s="1"/>
  <c r="C168" i="2" s="1"/>
  <c r="D142" i="2"/>
  <c r="B142" i="2" s="1"/>
  <c r="C142" i="2" s="1"/>
  <c r="D187" i="2"/>
  <c r="B187" i="2" s="1"/>
  <c r="C187" i="2" s="1"/>
  <c r="D177" i="2"/>
  <c r="B177" i="2" s="1"/>
  <c r="C177" i="2" s="1"/>
  <c r="P166" i="2"/>
  <c r="O166" i="2" s="1"/>
  <c r="D143" i="2"/>
  <c r="B143" i="2" s="1"/>
  <c r="C143" i="2" s="1"/>
  <c r="P150" i="2"/>
  <c r="O150" i="2" s="1"/>
  <c r="P147" i="2"/>
  <c r="O147" i="2" s="1"/>
  <c r="D151" i="2"/>
  <c r="B151" i="2" s="1"/>
  <c r="C151" i="2" s="1"/>
  <c r="P169" i="2"/>
  <c r="O169" i="2" s="1"/>
  <c r="D141" i="2"/>
  <c r="B141" i="2" s="1"/>
  <c r="C141" i="2" s="1"/>
  <c r="D171" i="2"/>
  <c r="B171" i="2" s="1"/>
  <c r="C171" i="2" s="1"/>
  <c r="P146" i="2"/>
  <c r="O146" i="2" s="1"/>
  <c r="D138" i="2"/>
  <c r="B138" i="2" s="1"/>
  <c r="C138" i="2" s="1"/>
  <c r="P149" i="2"/>
  <c r="O149" i="2" s="1"/>
  <c r="D175" i="2"/>
  <c r="B175" i="2" s="1"/>
  <c r="C175" i="2" s="1"/>
  <c r="D161" i="2"/>
  <c r="B161" i="2" s="1"/>
  <c r="C161" i="2" s="1"/>
  <c r="P151" i="2"/>
  <c r="O151" i="2" s="1"/>
  <c r="D189" i="2"/>
  <c r="B189" i="2" s="1"/>
  <c r="C189" i="2" s="1"/>
  <c r="P177" i="2"/>
  <c r="O177" i="2" s="1"/>
  <c r="P174" i="2"/>
  <c r="O174" i="2" s="1"/>
  <c r="D185" i="2"/>
  <c r="B185" i="2" s="1"/>
  <c r="C185" i="2" s="1"/>
  <c r="D188" i="2"/>
  <c r="B188" i="2" s="1"/>
  <c r="C188" i="2" s="1"/>
  <c r="D191" i="2"/>
  <c r="B191" i="2" s="1"/>
  <c r="C191" i="2" s="1"/>
  <c r="P178" i="2"/>
  <c r="O178" i="2" s="1"/>
  <c r="D180" i="2"/>
  <c r="B180" i="2" s="1"/>
  <c r="C180" i="2" s="1"/>
  <c r="D164" i="2"/>
  <c r="B164" i="2" s="1"/>
  <c r="C164" i="2" s="1"/>
  <c r="D172" i="2"/>
  <c r="B172" i="2" s="1"/>
  <c r="C172" i="2" s="1"/>
  <c r="P187" i="2"/>
  <c r="O187" i="2" s="1"/>
  <c r="D160" i="2"/>
  <c r="B160" i="2" s="1"/>
  <c r="C160" i="2" s="1"/>
  <c r="D152" i="2"/>
  <c r="B152" i="2" s="1"/>
  <c r="C152" i="2" s="1"/>
  <c r="P148" i="2"/>
  <c r="O148" i="2" s="1"/>
  <c r="D157" i="2"/>
  <c r="B157" i="2" s="1"/>
  <c r="C157" i="2" s="1"/>
  <c r="D149" i="2"/>
  <c r="B149" i="2" s="1"/>
  <c r="C149" i="2" s="1"/>
  <c r="D139" i="2"/>
  <c r="B139" i="2" s="1"/>
  <c r="C139" i="2" s="1"/>
  <c r="P152" i="2"/>
  <c r="O152" i="2" s="1"/>
  <c r="D148" i="2"/>
  <c r="B148" i="2" s="1"/>
  <c r="C148" i="2" s="1"/>
  <c r="D159" i="2"/>
  <c r="B159" i="2" s="1"/>
  <c r="C159" i="2" s="1"/>
  <c r="P136" i="2"/>
  <c r="O136" i="2" s="1"/>
  <c r="D136" i="2"/>
  <c r="B136" i="2" s="1"/>
  <c r="C136" i="2" s="1"/>
  <c r="G60" i="2"/>
  <c r="S60" i="2"/>
  <c r="R60" i="2"/>
  <c r="F60" i="2"/>
  <c r="F20" i="2"/>
  <c r="G20" i="2"/>
  <c r="S20" i="2"/>
  <c r="R20" i="2"/>
  <c r="S32" i="2"/>
  <c r="R32" i="2"/>
  <c r="S33" i="2"/>
  <c r="R33" i="2"/>
  <c r="AE127" i="2"/>
  <c r="G33" i="2"/>
  <c r="F32" i="2"/>
  <c r="F33" i="2"/>
  <c r="G32" i="2"/>
  <c r="AM193" i="2"/>
  <c r="Y193" i="2"/>
  <c r="F59" i="2"/>
  <c r="R59" i="2"/>
  <c r="S59" i="2"/>
  <c r="G59" i="2"/>
  <c r="AI127" i="2"/>
  <c r="AM325" i="2"/>
  <c r="AI259" i="2"/>
  <c r="AM61" i="2"/>
  <c r="R57" i="2"/>
  <c r="S37" i="2"/>
  <c r="R30" i="2"/>
  <c r="R56" i="2"/>
  <c r="S10" i="2"/>
  <c r="R5" i="2"/>
  <c r="S49" i="2"/>
  <c r="R44" i="2"/>
  <c r="R12" i="2"/>
  <c r="R51" i="2"/>
  <c r="S9" i="2"/>
  <c r="F50" i="2"/>
  <c r="G23" i="2"/>
  <c r="F17" i="2"/>
  <c r="R34" i="2"/>
  <c r="R39" i="2"/>
  <c r="F38" i="2"/>
  <c r="G49" i="2"/>
  <c r="F44" i="2"/>
  <c r="F12" i="2"/>
  <c r="F57" i="2"/>
  <c r="F39" i="2"/>
  <c r="F11" i="2"/>
  <c r="F56" i="2"/>
  <c r="G10" i="2"/>
  <c r="F5" i="2"/>
  <c r="G7" i="2"/>
  <c r="F51" i="2"/>
  <c r="F24" i="2"/>
  <c r="G37" i="2"/>
  <c r="F30" i="2"/>
  <c r="S23" i="2"/>
  <c r="R17" i="2"/>
  <c r="G9" i="2"/>
  <c r="R19" i="2"/>
  <c r="Y325" i="2"/>
  <c r="AM259" i="2"/>
  <c r="Y259" i="2"/>
  <c r="AE259" i="2"/>
  <c r="AI193" i="2"/>
  <c r="AE193" i="2"/>
  <c r="AM127" i="2"/>
  <c r="S54" i="2"/>
  <c r="G54" i="2"/>
  <c r="R49" i="2"/>
  <c r="F49" i="2"/>
  <c r="S42" i="2"/>
  <c r="G42" i="2"/>
  <c r="R37" i="2"/>
  <c r="F37" i="2"/>
  <c r="S28" i="2"/>
  <c r="G28" i="2"/>
  <c r="R23" i="2"/>
  <c r="F23" i="2"/>
  <c r="S15" i="2"/>
  <c r="G15" i="2"/>
  <c r="R10" i="2"/>
  <c r="F10" i="2"/>
  <c r="R54" i="2"/>
  <c r="F54" i="2"/>
  <c r="S47" i="2"/>
  <c r="G47" i="2"/>
  <c r="R42" i="2"/>
  <c r="F42" i="2"/>
  <c r="S35" i="2"/>
  <c r="G35" i="2"/>
  <c r="R28" i="2"/>
  <c r="F28" i="2"/>
  <c r="S21" i="2"/>
  <c r="G21" i="2"/>
  <c r="R15" i="2"/>
  <c r="F15" i="2"/>
  <c r="S8" i="2"/>
  <c r="G8" i="2"/>
  <c r="S52" i="2"/>
  <c r="G52" i="2"/>
  <c r="R47" i="2"/>
  <c r="F47" i="2"/>
  <c r="S40" i="2"/>
  <c r="G40" i="2"/>
  <c r="R35" i="2"/>
  <c r="F35" i="2"/>
  <c r="S26" i="2"/>
  <c r="G26" i="2"/>
  <c r="R21" i="2"/>
  <c r="F21" i="2"/>
  <c r="S13" i="2"/>
  <c r="G13" i="2"/>
  <c r="R8" i="2"/>
  <c r="F8" i="2"/>
  <c r="Y61" i="2"/>
  <c r="S57" i="2"/>
  <c r="G57" i="2"/>
  <c r="R52" i="2"/>
  <c r="F52" i="2"/>
  <c r="S45" i="2"/>
  <c r="G45" i="2"/>
  <c r="R40" i="2"/>
  <c r="F40" i="2"/>
  <c r="S31" i="2"/>
  <c r="G31" i="2"/>
  <c r="R26" i="2"/>
  <c r="F26" i="2"/>
  <c r="S18" i="2"/>
  <c r="G18" i="2"/>
  <c r="R13" i="2"/>
  <c r="F13" i="2"/>
  <c r="S6" i="2"/>
  <c r="G6" i="2"/>
  <c r="S50" i="2"/>
  <c r="G50" i="2"/>
  <c r="R45" i="2"/>
  <c r="F45" i="2"/>
  <c r="S38" i="2"/>
  <c r="G38" i="2"/>
  <c r="R31" i="2"/>
  <c r="F31" i="2"/>
  <c r="S24" i="2"/>
  <c r="G24" i="2"/>
  <c r="R18" i="2"/>
  <c r="F18" i="2"/>
  <c r="S11" i="2"/>
  <c r="G11" i="2"/>
  <c r="R6" i="2"/>
  <c r="F6" i="2"/>
  <c r="S55" i="2"/>
  <c r="G55" i="2"/>
  <c r="R50" i="2"/>
  <c r="S43" i="2"/>
  <c r="G43" i="2"/>
  <c r="R38" i="2"/>
  <c r="S29" i="2"/>
  <c r="G29" i="2"/>
  <c r="R24" i="2"/>
  <c r="S16" i="2"/>
  <c r="G16" i="2"/>
  <c r="R11" i="2"/>
  <c r="S4" i="2"/>
  <c r="G4" i="2"/>
  <c r="R55" i="2"/>
  <c r="F55" i="2"/>
  <c r="S48" i="2"/>
  <c r="G48" i="2"/>
  <c r="R43" i="2"/>
  <c r="F43" i="2"/>
  <c r="S36" i="2"/>
  <c r="G36" i="2"/>
  <c r="R29" i="2"/>
  <c r="F29" i="2"/>
  <c r="S22" i="2"/>
  <c r="G22" i="2"/>
  <c r="R16" i="2"/>
  <c r="F16" i="2"/>
  <c r="R4" i="2"/>
  <c r="F4" i="2"/>
  <c r="S53" i="2"/>
  <c r="G53" i="2"/>
  <c r="R48" i="2"/>
  <c r="F48" i="2"/>
  <c r="S41" i="2"/>
  <c r="G41" i="2"/>
  <c r="R36" i="2"/>
  <c r="F36" i="2"/>
  <c r="S27" i="2"/>
  <c r="G27" i="2"/>
  <c r="R22" i="2"/>
  <c r="F22" i="2"/>
  <c r="S14" i="2"/>
  <c r="G14" i="2"/>
  <c r="R9" i="2"/>
  <c r="F9" i="2"/>
  <c r="S58" i="2"/>
  <c r="G58" i="2"/>
  <c r="R53" i="2"/>
  <c r="F53" i="2"/>
  <c r="S46" i="2"/>
  <c r="G46" i="2"/>
  <c r="R41" i="2"/>
  <c r="F41" i="2"/>
  <c r="S34" i="2"/>
  <c r="G34" i="2"/>
  <c r="R27" i="2"/>
  <c r="F27" i="2"/>
  <c r="S19" i="2"/>
  <c r="G19" i="2"/>
  <c r="R14" i="2"/>
  <c r="F14" i="2"/>
  <c r="S7" i="2"/>
  <c r="AI61" i="2"/>
  <c r="F58" i="2"/>
  <c r="S51" i="2"/>
  <c r="G51" i="2"/>
  <c r="R46" i="2"/>
  <c r="F46" i="2"/>
  <c r="S39" i="2"/>
  <c r="G39" i="2"/>
  <c r="F34" i="2"/>
  <c r="S25" i="2"/>
  <c r="G25" i="2"/>
  <c r="F19" i="2"/>
  <c r="S12" i="2"/>
  <c r="G12" i="2"/>
  <c r="R7" i="2"/>
  <c r="F7" i="2"/>
  <c r="AE61" i="2"/>
  <c r="S56" i="2"/>
  <c r="G56" i="2"/>
  <c r="S44" i="2"/>
  <c r="G44" i="2"/>
  <c r="S30" i="2"/>
  <c r="G30" i="2"/>
  <c r="R25" i="2"/>
  <c r="F25" i="2"/>
  <c r="S17" i="2"/>
  <c r="G17" i="2"/>
  <c r="S5" i="2"/>
  <c r="G5" i="2"/>
  <c r="R58" i="2"/>
  <c r="AE325" i="2"/>
  <c r="AI325" i="2"/>
  <c r="E117" i="2" l="1"/>
  <c r="E102" i="2"/>
  <c r="E99" i="2"/>
  <c r="E82" i="2"/>
  <c r="E77" i="2"/>
  <c r="E110" i="2"/>
  <c r="E109" i="2"/>
  <c r="E60" i="2"/>
  <c r="E121" i="2"/>
  <c r="E123" i="2"/>
  <c r="Q90" i="2"/>
  <c r="Q60" i="2"/>
  <c r="P60" i="2" s="1"/>
  <c r="O60" i="2" s="1"/>
  <c r="E112" i="2"/>
  <c r="E85" i="2"/>
  <c r="E94" i="2"/>
  <c r="E103" i="2"/>
  <c r="E87" i="2"/>
  <c r="E97" i="2"/>
  <c r="Q85" i="2"/>
  <c r="Q87" i="2"/>
  <c r="Q99" i="2"/>
  <c r="Q100" i="2"/>
  <c r="Q83" i="2"/>
  <c r="Q93" i="2"/>
  <c r="Q103" i="2"/>
  <c r="E118" i="2"/>
  <c r="E90" i="2"/>
  <c r="Q122" i="2"/>
  <c r="Q108" i="2"/>
  <c r="Q105" i="2"/>
  <c r="Q86" i="2"/>
  <c r="E122" i="2"/>
  <c r="Q113" i="2"/>
  <c r="E79" i="2"/>
  <c r="Q102" i="2"/>
  <c r="Q73" i="2"/>
  <c r="Q107" i="2"/>
  <c r="Q92" i="2"/>
  <c r="Q88" i="2"/>
  <c r="Q75" i="2"/>
  <c r="E108" i="2"/>
  <c r="E72" i="2"/>
  <c r="Q70" i="2"/>
  <c r="Q78" i="2"/>
  <c r="E101" i="2"/>
  <c r="E83" i="2"/>
  <c r="E76" i="2"/>
  <c r="Q74" i="2"/>
  <c r="Q96" i="2"/>
  <c r="E114" i="2"/>
  <c r="E111" i="2"/>
  <c r="E105" i="2"/>
  <c r="Q111" i="2"/>
  <c r="Q106" i="2"/>
  <c r="Q112" i="2"/>
  <c r="E98" i="2"/>
  <c r="E124" i="2"/>
  <c r="Q79" i="2"/>
  <c r="Q80" i="2"/>
  <c r="Q95" i="2"/>
  <c r="Q98" i="2"/>
  <c r="Q110" i="2"/>
  <c r="E81" i="2"/>
  <c r="E115" i="2"/>
  <c r="Q123" i="2"/>
  <c r="Q101" i="2"/>
  <c r="Q124" i="2"/>
  <c r="Q77" i="2"/>
  <c r="Q81" i="2"/>
  <c r="E73" i="2"/>
  <c r="E71" i="2"/>
  <c r="E125" i="2"/>
  <c r="Q72" i="2"/>
  <c r="Q114" i="2"/>
  <c r="Q109" i="2"/>
  <c r="Q71" i="2"/>
  <c r="Q120" i="2"/>
  <c r="E74" i="2"/>
  <c r="D126" i="2" s="1"/>
  <c r="B126" i="2" s="1"/>
  <c r="C126" i="2" s="1"/>
  <c r="E80" i="2"/>
  <c r="E116" i="2"/>
  <c r="E95" i="2"/>
  <c r="E113" i="2"/>
  <c r="Q82" i="2"/>
  <c r="Q89" i="2"/>
  <c r="Q119" i="2"/>
  <c r="E100" i="2"/>
  <c r="E104" i="2"/>
  <c r="E78" i="2"/>
  <c r="Q97" i="2"/>
  <c r="Q84" i="2"/>
  <c r="Q116" i="2"/>
  <c r="E92" i="2"/>
  <c r="E120" i="2"/>
  <c r="E107" i="2"/>
  <c r="E70" i="2"/>
  <c r="Q121" i="2"/>
  <c r="Q76" i="2"/>
  <c r="Q104" i="2"/>
  <c r="Q125" i="2"/>
  <c r="P126" i="2" s="1"/>
  <c r="O126" i="2" s="1"/>
  <c r="Q91" i="2"/>
  <c r="Q118" i="2"/>
  <c r="Q117" i="2"/>
  <c r="Q115" i="2"/>
  <c r="E106" i="2"/>
  <c r="E84" i="2"/>
  <c r="E119" i="2"/>
  <c r="E89" i="2"/>
  <c r="E96" i="2"/>
  <c r="E59" i="2"/>
  <c r="Q59" i="2"/>
  <c r="Q20" i="2"/>
  <c r="E20" i="2"/>
  <c r="E7" i="2"/>
  <c r="E51" i="2"/>
  <c r="Q5" i="2"/>
  <c r="Q9" i="2"/>
  <c r="Q32" i="2"/>
  <c r="E24" i="2"/>
  <c r="E32" i="2"/>
  <c r="E33" i="2"/>
  <c r="Q33" i="2"/>
  <c r="E49" i="2"/>
  <c r="Q51" i="2"/>
  <c r="E11" i="2"/>
  <c r="E9" i="2"/>
  <c r="Q34" i="2"/>
  <c r="E5" i="2"/>
  <c r="Q12" i="2"/>
  <c r="Q17" i="2"/>
  <c r="Q10" i="2"/>
  <c r="E12" i="2"/>
  <c r="Q30" i="2"/>
  <c r="E44" i="2"/>
  <c r="Q19" i="2"/>
  <c r="Q57" i="2"/>
  <c r="Q56" i="2"/>
  <c r="E56" i="2"/>
  <c r="Q37" i="2"/>
  <c r="Q39" i="2"/>
  <c r="E23" i="2"/>
  <c r="E57" i="2"/>
  <c r="Q23" i="2"/>
  <c r="E17" i="2"/>
  <c r="E50" i="2"/>
  <c r="Q49" i="2"/>
  <c r="E39" i="2"/>
  <c r="E30" i="2"/>
  <c r="Q44" i="2"/>
  <c r="E10" i="2"/>
  <c r="E38" i="2"/>
  <c r="Q53" i="2"/>
  <c r="Q13" i="2"/>
  <c r="Q36" i="2"/>
  <c r="Q16" i="2"/>
  <c r="Q18" i="2"/>
  <c r="Q14" i="2"/>
  <c r="Q4" i="2"/>
  <c r="Q58" i="2"/>
  <c r="Q11" i="2"/>
  <c r="E47" i="2"/>
  <c r="E22" i="2"/>
  <c r="Q47" i="2"/>
  <c r="Q22" i="2"/>
  <c r="Q50" i="2"/>
  <c r="Q31" i="2"/>
  <c r="E37" i="2"/>
  <c r="E4" i="2"/>
  <c r="Q43" i="2"/>
  <c r="Q25" i="2"/>
  <c r="E13" i="2"/>
  <c r="E34" i="2"/>
  <c r="E58" i="2"/>
  <c r="E41" i="2"/>
  <c r="E16" i="2"/>
  <c r="E55" i="2"/>
  <c r="E45" i="2"/>
  <c r="Q7" i="2"/>
  <c r="Q41" i="2"/>
  <c r="Q55" i="2"/>
  <c r="Q38" i="2"/>
  <c r="E18" i="2"/>
  <c r="Q45" i="2"/>
  <c r="E48" i="2"/>
  <c r="E52" i="2"/>
  <c r="E21" i="2"/>
  <c r="E42" i="2"/>
  <c r="Q48" i="2"/>
  <c r="Q52" i="2"/>
  <c r="Q21" i="2"/>
  <c r="Q42" i="2"/>
  <c r="E14" i="2"/>
  <c r="E53" i="2"/>
  <c r="E29" i="2"/>
  <c r="E26" i="2"/>
  <c r="E15" i="2"/>
  <c r="Q29" i="2"/>
  <c r="Q26" i="2"/>
  <c r="Q15" i="2"/>
  <c r="E19" i="2"/>
  <c r="E46" i="2"/>
  <c r="Q46" i="2"/>
  <c r="E6" i="2"/>
  <c r="E31" i="2"/>
  <c r="E8" i="2"/>
  <c r="E54" i="2"/>
  <c r="E27" i="2"/>
  <c r="E36" i="2"/>
  <c r="E43" i="2"/>
  <c r="Q6" i="2"/>
  <c r="Q8" i="2"/>
  <c r="Q54" i="2"/>
  <c r="Q27" i="2"/>
  <c r="Q24" i="2"/>
  <c r="E40" i="2"/>
  <c r="E35" i="2"/>
  <c r="E28" i="2"/>
  <c r="E25" i="2"/>
  <c r="Q40" i="2"/>
  <c r="Q35" i="2"/>
  <c r="Q28" i="2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" i="13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J13" i="13"/>
  <c r="J12" i="13"/>
  <c r="G12" i="13"/>
  <c r="J11" i="13"/>
  <c r="G11" i="13"/>
  <c r="J10" i="13"/>
  <c r="G10" i="13"/>
  <c r="J9" i="13"/>
  <c r="G9" i="13"/>
  <c r="J8" i="13"/>
  <c r="G8" i="13"/>
  <c r="J7" i="13"/>
  <c r="G7" i="13"/>
  <c r="J6" i="13"/>
  <c r="G6" i="13"/>
  <c r="J5" i="13"/>
  <c r="G5" i="13"/>
  <c r="J4" i="13"/>
  <c r="G4" i="13"/>
  <c r="G3" i="13"/>
  <c r="G2" i="13"/>
  <c r="D60" i="2" l="1"/>
  <c r="B60" i="2" s="1"/>
  <c r="C60" i="2" s="1"/>
  <c r="P77" i="2"/>
  <c r="O77" i="2" s="1"/>
  <c r="D107" i="2"/>
  <c r="B107" i="2" s="1"/>
  <c r="C107" i="2" s="1"/>
  <c r="D85" i="2"/>
  <c r="B85" i="2" s="1"/>
  <c r="C85" i="2" s="1"/>
  <c r="D73" i="2"/>
  <c r="B73" i="2" s="1"/>
  <c r="C73" i="2" s="1"/>
  <c r="D119" i="2"/>
  <c r="B119" i="2" s="1"/>
  <c r="C119" i="2" s="1"/>
  <c r="P121" i="2"/>
  <c r="O121" i="2" s="1"/>
  <c r="P109" i="2"/>
  <c r="O109" i="2" s="1"/>
  <c r="P102" i="2"/>
  <c r="O102" i="2" s="1"/>
  <c r="P124" i="2"/>
  <c r="O124" i="2" s="1"/>
  <c r="P78" i="2"/>
  <c r="O78" i="2" s="1"/>
  <c r="P101" i="2"/>
  <c r="O101" i="2" s="1"/>
  <c r="P120" i="2"/>
  <c r="O120" i="2" s="1"/>
  <c r="P118" i="2"/>
  <c r="O118" i="2" s="1"/>
  <c r="D104" i="2"/>
  <c r="B104" i="2" s="1"/>
  <c r="C104" i="2" s="1"/>
  <c r="P114" i="2"/>
  <c r="O114" i="2" s="1"/>
  <c r="P88" i="2"/>
  <c r="O88" i="2" s="1"/>
  <c r="D100" i="2"/>
  <c r="B100" i="2" s="1"/>
  <c r="C100" i="2" s="1"/>
  <c r="P119" i="2"/>
  <c r="O119" i="2" s="1"/>
  <c r="P96" i="2"/>
  <c r="O96" i="2" s="1"/>
  <c r="D78" i="2"/>
  <c r="B78" i="2" s="1"/>
  <c r="C78" i="2" s="1"/>
  <c r="D82" i="2"/>
  <c r="B82" i="2" s="1"/>
  <c r="C82" i="2" s="1"/>
  <c r="D74" i="2"/>
  <c r="B74" i="2" s="1"/>
  <c r="C74" i="2" s="1"/>
  <c r="D109" i="2"/>
  <c r="B109" i="2" s="1"/>
  <c r="C109" i="2" s="1"/>
  <c r="D76" i="2"/>
  <c r="B76" i="2" s="1"/>
  <c r="C76" i="2" s="1"/>
  <c r="D86" i="2"/>
  <c r="B86" i="2" s="1"/>
  <c r="C86" i="2" s="1"/>
  <c r="P81" i="2"/>
  <c r="O81" i="2" s="1"/>
  <c r="P80" i="2"/>
  <c r="O80" i="2" s="1"/>
  <c r="D105" i="2"/>
  <c r="B105" i="2" s="1"/>
  <c r="C105" i="2" s="1"/>
  <c r="P70" i="2"/>
  <c r="O70" i="2" s="1"/>
  <c r="P71" i="2"/>
  <c r="O71" i="2" s="1"/>
  <c r="P93" i="2"/>
  <c r="O93" i="2" s="1"/>
  <c r="D98" i="2"/>
  <c r="B98" i="2" s="1"/>
  <c r="C98" i="2" s="1"/>
  <c r="P113" i="2"/>
  <c r="O113" i="2" s="1"/>
  <c r="D90" i="2"/>
  <c r="B90" i="2" s="1"/>
  <c r="C90" i="2" s="1"/>
  <c r="D77" i="2"/>
  <c r="B77" i="2" s="1"/>
  <c r="C77" i="2" s="1"/>
  <c r="D112" i="2"/>
  <c r="B112" i="2" s="1"/>
  <c r="C112" i="2" s="1"/>
  <c r="D84" i="2"/>
  <c r="B84" i="2" s="1"/>
  <c r="C84" i="2" s="1"/>
  <c r="D118" i="2"/>
  <c r="B118" i="2" s="1"/>
  <c r="C118" i="2" s="1"/>
  <c r="D70" i="2"/>
  <c r="B70" i="2" s="1"/>
  <c r="C70" i="2" s="1"/>
  <c r="D103" i="2"/>
  <c r="B103" i="2" s="1"/>
  <c r="C103" i="2" s="1"/>
  <c r="D79" i="2"/>
  <c r="B79" i="2" s="1"/>
  <c r="C79" i="2" s="1"/>
  <c r="D123" i="2"/>
  <c r="B123" i="2" s="1"/>
  <c r="C123" i="2" s="1"/>
  <c r="D75" i="2"/>
  <c r="B75" i="2" s="1"/>
  <c r="C75" i="2" s="1"/>
  <c r="D72" i="2"/>
  <c r="B72" i="2" s="1"/>
  <c r="C72" i="2" s="1"/>
  <c r="P86" i="2"/>
  <c r="O86" i="2" s="1"/>
  <c r="P79" i="2"/>
  <c r="O79" i="2" s="1"/>
  <c r="P83" i="2"/>
  <c r="O83" i="2" s="1"/>
  <c r="D124" i="2"/>
  <c r="B124" i="2" s="1"/>
  <c r="C124" i="2" s="1"/>
  <c r="D92" i="2"/>
  <c r="B92" i="2" s="1"/>
  <c r="C92" i="2" s="1"/>
  <c r="P89" i="2"/>
  <c r="O89" i="2" s="1"/>
  <c r="P85" i="2"/>
  <c r="O85" i="2" s="1"/>
  <c r="P123" i="2"/>
  <c r="O123" i="2" s="1"/>
  <c r="D87" i="2"/>
  <c r="B87" i="2" s="1"/>
  <c r="C87" i="2" s="1"/>
  <c r="D111" i="2"/>
  <c r="B111" i="2" s="1"/>
  <c r="C111" i="2" s="1"/>
  <c r="P92" i="2"/>
  <c r="O92" i="2" s="1"/>
  <c r="P116" i="2"/>
  <c r="O116" i="2" s="1"/>
  <c r="P82" i="2"/>
  <c r="O82" i="2" s="1"/>
  <c r="P73" i="2"/>
  <c r="O73" i="2" s="1"/>
  <c r="P72" i="2"/>
  <c r="O72" i="2" s="1"/>
  <c r="D115" i="2"/>
  <c r="B115" i="2" s="1"/>
  <c r="C115" i="2" s="1"/>
  <c r="D108" i="2"/>
  <c r="B108" i="2" s="1"/>
  <c r="C108" i="2" s="1"/>
  <c r="D114" i="2"/>
  <c r="B114" i="2" s="1"/>
  <c r="C114" i="2" s="1"/>
  <c r="D121" i="2"/>
  <c r="B121" i="2" s="1"/>
  <c r="C121" i="2" s="1"/>
  <c r="P91" i="2"/>
  <c r="O91" i="2" s="1"/>
  <c r="P75" i="2"/>
  <c r="O75" i="2" s="1"/>
  <c r="D113" i="2"/>
  <c r="B113" i="2" s="1"/>
  <c r="C113" i="2" s="1"/>
  <c r="D125" i="2"/>
  <c r="B125" i="2" s="1"/>
  <c r="C125" i="2" s="1"/>
  <c r="D81" i="2"/>
  <c r="B81" i="2" s="1"/>
  <c r="C81" i="2" s="1"/>
  <c r="P112" i="2"/>
  <c r="O112" i="2" s="1"/>
  <c r="D106" i="2"/>
  <c r="B106" i="2" s="1"/>
  <c r="C106" i="2" s="1"/>
  <c r="P117" i="2"/>
  <c r="O117" i="2" s="1"/>
  <c r="P122" i="2"/>
  <c r="O122" i="2" s="1"/>
  <c r="P94" i="2"/>
  <c r="O94" i="2" s="1"/>
  <c r="P125" i="2"/>
  <c r="O125" i="2" s="1"/>
  <c r="P110" i="2"/>
  <c r="O110" i="2" s="1"/>
  <c r="P108" i="2"/>
  <c r="O108" i="2" s="1"/>
  <c r="P106" i="2"/>
  <c r="O106" i="2" s="1"/>
  <c r="P107" i="2"/>
  <c r="O107" i="2" s="1"/>
  <c r="P74" i="2"/>
  <c r="O74" i="2" s="1"/>
  <c r="P115" i="2"/>
  <c r="O115" i="2" s="1"/>
  <c r="D95" i="2"/>
  <c r="B95" i="2" s="1"/>
  <c r="C95" i="2" s="1"/>
  <c r="D96" i="2"/>
  <c r="B96" i="2" s="1"/>
  <c r="C96" i="2" s="1"/>
  <c r="P104" i="2"/>
  <c r="O104" i="2" s="1"/>
  <c r="P103" i="2"/>
  <c r="O103" i="2" s="1"/>
  <c r="P99" i="2"/>
  <c r="O99" i="2" s="1"/>
  <c r="P97" i="2"/>
  <c r="O97" i="2" s="1"/>
  <c r="P100" i="2"/>
  <c r="O100" i="2" s="1"/>
  <c r="D116" i="2"/>
  <c r="B116" i="2" s="1"/>
  <c r="C116" i="2" s="1"/>
  <c r="P98" i="2"/>
  <c r="O98" i="2" s="1"/>
  <c r="P111" i="2"/>
  <c r="O111" i="2" s="1"/>
  <c r="P87" i="2"/>
  <c r="O87" i="2" s="1"/>
  <c r="D120" i="2"/>
  <c r="B120" i="2" s="1"/>
  <c r="C120" i="2" s="1"/>
  <c r="P84" i="2"/>
  <c r="O84" i="2" s="1"/>
  <c r="D93" i="2"/>
  <c r="B93" i="2" s="1"/>
  <c r="C93" i="2" s="1"/>
  <c r="D91" i="2"/>
  <c r="B91" i="2" s="1"/>
  <c r="C91" i="2" s="1"/>
  <c r="D83" i="2"/>
  <c r="B83" i="2" s="1"/>
  <c r="C83" i="2" s="1"/>
  <c r="D110" i="2"/>
  <c r="B110" i="2" s="1"/>
  <c r="C110" i="2" s="1"/>
  <c r="D71" i="2"/>
  <c r="B71" i="2" s="1"/>
  <c r="C71" i="2" s="1"/>
  <c r="D102" i="2"/>
  <c r="B102" i="2" s="1"/>
  <c r="C102" i="2" s="1"/>
  <c r="D94" i="2"/>
  <c r="B94" i="2" s="1"/>
  <c r="C94" i="2" s="1"/>
  <c r="D89" i="2"/>
  <c r="B89" i="2" s="1"/>
  <c r="C89" i="2" s="1"/>
  <c r="P76" i="2"/>
  <c r="O76" i="2" s="1"/>
  <c r="P105" i="2"/>
  <c r="O105" i="2" s="1"/>
  <c r="D88" i="2"/>
  <c r="B88" i="2" s="1"/>
  <c r="C88" i="2" s="1"/>
  <c r="D117" i="2"/>
  <c r="B117" i="2" s="1"/>
  <c r="C117" i="2" s="1"/>
  <c r="D80" i="2"/>
  <c r="B80" i="2" s="1"/>
  <c r="C80" i="2" s="1"/>
  <c r="D99" i="2"/>
  <c r="B99" i="2" s="1"/>
  <c r="C99" i="2" s="1"/>
  <c r="D122" i="2"/>
  <c r="B122" i="2" s="1"/>
  <c r="C122" i="2" s="1"/>
  <c r="D97" i="2"/>
  <c r="B97" i="2" s="1"/>
  <c r="C97" i="2" s="1"/>
  <c r="D101" i="2"/>
  <c r="B101" i="2" s="1"/>
  <c r="C101" i="2" s="1"/>
  <c r="P95" i="2"/>
  <c r="O95" i="2" s="1"/>
  <c r="P90" i="2"/>
  <c r="O90" i="2" s="1"/>
  <c r="P20" i="2"/>
  <c r="O20" i="2" s="1"/>
  <c r="L39" i="2"/>
  <c r="L48" i="2"/>
  <c r="L47" i="2"/>
  <c r="L43" i="2"/>
  <c r="D20" i="2"/>
  <c r="B20" i="2" s="1"/>
  <c r="C20" i="2" s="1"/>
  <c r="P36" i="2"/>
  <c r="O36" i="2" s="1"/>
  <c r="P32" i="2"/>
  <c r="O32" i="2" s="1"/>
  <c r="P33" i="2"/>
  <c r="O33" i="2" s="1"/>
  <c r="D33" i="2"/>
  <c r="B33" i="2" s="1"/>
  <c r="C33" i="2" s="1"/>
  <c r="D32" i="2"/>
  <c r="B32" i="2" s="1"/>
  <c r="C32" i="2" s="1"/>
  <c r="P13" i="2"/>
  <c r="O13" i="2" s="1"/>
  <c r="D59" i="2"/>
  <c r="B59" i="2" s="1"/>
  <c r="C59" i="2" s="1"/>
  <c r="P45" i="2"/>
  <c r="O45" i="2" s="1"/>
  <c r="P14" i="2"/>
  <c r="O14" i="2" s="1"/>
  <c r="P59" i="2"/>
  <c r="O59" i="2" s="1"/>
  <c r="P21" i="2"/>
  <c r="O21" i="2" s="1"/>
  <c r="P55" i="2"/>
  <c r="O55" i="2" s="1"/>
  <c r="P30" i="2"/>
  <c r="O30" i="2" s="1"/>
  <c r="P29" i="2"/>
  <c r="O29" i="2" s="1"/>
  <c r="P10" i="2"/>
  <c r="O10" i="2" s="1"/>
  <c r="P11" i="2"/>
  <c r="O11" i="2" s="1"/>
  <c r="P24" i="2"/>
  <c r="O24" i="2" s="1"/>
  <c r="P12" i="2"/>
  <c r="O12" i="2" s="1"/>
  <c r="P50" i="2"/>
  <c r="O50" i="2" s="1"/>
  <c r="P27" i="2"/>
  <c r="O27" i="2" s="1"/>
  <c r="P28" i="2"/>
  <c r="O28" i="2" s="1"/>
  <c r="D50" i="2"/>
  <c r="B50" i="2" s="1"/>
  <c r="C50" i="2" s="1"/>
  <c r="P52" i="2"/>
  <c r="O52" i="2" s="1"/>
  <c r="D6" i="2"/>
  <c r="B6" i="2" s="1"/>
  <c r="C6" i="2" s="1"/>
  <c r="D39" i="2"/>
  <c r="B39" i="2" s="1"/>
  <c r="C39" i="2" s="1"/>
  <c r="P54" i="2"/>
  <c r="O54" i="2" s="1"/>
  <c r="D57" i="2"/>
  <c r="B57" i="2" s="1"/>
  <c r="C57" i="2" s="1"/>
  <c r="D43" i="2"/>
  <c r="B43" i="2" s="1"/>
  <c r="C43" i="2" s="1"/>
  <c r="D28" i="2"/>
  <c r="B28" i="2" s="1"/>
  <c r="C28" i="2" s="1"/>
  <c r="D13" i="2"/>
  <c r="B13" i="2" s="1"/>
  <c r="C13" i="2" s="1"/>
  <c r="P47" i="2"/>
  <c r="O47" i="2" s="1"/>
  <c r="P9" i="2"/>
  <c r="O9" i="2" s="1"/>
  <c r="P35" i="2"/>
  <c r="O35" i="2" s="1"/>
  <c r="P8" i="2"/>
  <c r="O8" i="2" s="1"/>
  <c r="P56" i="2"/>
  <c r="O56" i="2" s="1"/>
  <c r="D51" i="2"/>
  <c r="B51" i="2" s="1"/>
  <c r="C51" i="2" s="1"/>
  <c r="D25" i="2"/>
  <c r="B25" i="2" s="1"/>
  <c r="C25" i="2" s="1"/>
  <c r="D36" i="2"/>
  <c r="B36" i="2" s="1"/>
  <c r="C36" i="2" s="1"/>
  <c r="D19" i="2"/>
  <c r="B19" i="2" s="1"/>
  <c r="C19" i="2" s="1"/>
  <c r="D35" i="2"/>
  <c r="B35" i="2" s="1"/>
  <c r="C35" i="2" s="1"/>
  <c r="P51" i="2"/>
  <c r="O51" i="2" s="1"/>
  <c r="D12" i="2"/>
  <c r="B12" i="2" s="1"/>
  <c r="C12" i="2" s="1"/>
  <c r="D49" i="2"/>
  <c r="B49" i="2" s="1"/>
  <c r="C49" i="2" s="1"/>
  <c r="D54" i="2"/>
  <c r="B54" i="2" s="1"/>
  <c r="C54" i="2" s="1"/>
  <c r="D53" i="2"/>
  <c r="B53" i="2" s="1"/>
  <c r="C53" i="2" s="1"/>
  <c r="D24" i="2"/>
  <c r="B24" i="2" s="1"/>
  <c r="C24" i="2" s="1"/>
  <c r="D46" i="2"/>
  <c r="B46" i="2" s="1"/>
  <c r="C46" i="2" s="1"/>
  <c r="D26" i="2"/>
  <c r="B26" i="2" s="1"/>
  <c r="C26" i="2" s="1"/>
  <c r="D42" i="2"/>
  <c r="B42" i="2" s="1"/>
  <c r="C42" i="2" s="1"/>
  <c r="P17" i="2"/>
  <c r="O17" i="2" s="1"/>
  <c r="P49" i="2"/>
  <c r="O49" i="2" s="1"/>
  <c r="D21" i="2"/>
  <c r="B21" i="2" s="1"/>
  <c r="C21" i="2" s="1"/>
  <c r="D45" i="2"/>
  <c r="B45" i="2" s="1"/>
  <c r="C45" i="2" s="1"/>
  <c r="P40" i="2"/>
  <c r="O40" i="2" s="1"/>
  <c r="P4" i="2"/>
  <c r="O4" i="2" s="1"/>
  <c r="D11" i="2"/>
  <c r="B11" i="2" s="1"/>
  <c r="C11" i="2" s="1"/>
  <c r="D52" i="2"/>
  <c r="B52" i="2" s="1"/>
  <c r="C52" i="2" s="1"/>
  <c r="D38" i="2"/>
  <c r="B38" i="2" s="1"/>
  <c r="C38" i="2" s="1"/>
  <c r="D9" i="2"/>
  <c r="B9" i="2" s="1"/>
  <c r="C9" i="2" s="1"/>
  <c r="D27" i="2"/>
  <c r="B27" i="2" s="1"/>
  <c r="C27" i="2" s="1"/>
  <c r="D29" i="2"/>
  <c r="B29" i="2" s="1"/>
  <c r="C29" i="2" s="1"/>
  <c r="D48" i="2"/>
  <c r="B48" i="2" s="1"/>
  <c r="C48" i="2" s="1"/>
  <c r="D55" i="2"/>
  <c r="B55" i="2" s="1"/>
  <c r="C55" i="2" s="1"/>
  <c r="D56" i="2"/>
  <c r="B56" i="2" s="1"/>
  <c r="C56" i="2" s="1"/>
  <c r="D10" i="2"/>
  <c r="B10" i="2" s="1"/>
  <c r="C10" i="2" s="1"/>
  <c r="D22" i="2"/>
  <c r="B22" i="2" s="1"/>
  <c r="C22" i="2" s="1"/>
  <c r="D16" i="2"/>
  <c r="B16" i="2" s="1"/>
  <c r="C16" i="2" s="1"/>
  <c r="P58" i="2"/>
  <c r="O58" i="2" s="1"/>
  <c r="P18" i="2"/>
  <c r="O18" i="2" s="1"/>
  <c r="P15" i="2"/>
  <c r="O15" i="2" s="1"/>
  <c r="P16" i="2"/>
  <c r="O16" i="2" s="1"/>
  <c r="D14" i="2"/>
  <c r="B14" i="2" s="1"/>
  <c r="C14" i="2" s="1"/>
  <c r="D41" i="2"/>
  <c r="B41" i="2" s="1"/>
  <c r="C41" i="2" s="1"/>
  <c r="P19" i="2"/>
  <c r="O19" i="2" s="1"/>
  <c r="D17" i="2"/>
  <c r="B17" i="2" s="1"/>
  <c r="C17" i="2" s="1"/>
  <c r="D40" i="2"/>
  <c r="B40" i="2" s="1"/>
  <c r="C40" i="2" s="1"/>
  <c r="D8" i="2"/>
  <c r="B8" i="2" s="1"/>
  <c r="C8" i="2" s="1"/>
  <c r="D47" i="2"/>
  <c r="B47" i="2" s="1"/>
  <c r="C47" i="2" s="1"/>
  <c r="P42" i="2"/>
  <c r="O42" i="2" s="1"/>
  <c r="D58" i="2"/>
  <c r="B58" i="2" s="1"/>
  <c r="C58" i="2" s="1"/>
  <c r="P44" i="2"/>
  <c r="O44" i="2" s="1"/>
  <c r="D7" i="2"/>
  <c r="B7" i="2" s="1"/>
  <c r="C7" i="2" s="1"/>
  <c r="D31" i="2"/>
  <c r="B31" i="2" s="1"/>
  <c r="C31" i="2" s="1"/>
  <c r="P26" i="2"/>
  <c r="O26" i="2" s="1"/>
  <c r="D18" i="2"/>
  <c r="B18" i="2" s="1"/>
  <c r="C18" i="2" s="1"/>
  <c r="D34" i="2"/>
  <c r="B34" i="2" s="1"/>
  <c r="C34" i="2" s="1"/>
  <c r="P23" i="2"/>
  <c r="O23" i="2" s="1"/>
  <c r="P53" i="2"/>
  <c r="O53" i="2" s="1"/>
  <c r="P38" i="2"/>
  <c r="O38" i="2" s="1"/>
  <c r="D44" i="2"/>
  <c r="B44" i="2" s="1"/>
  <c r="C44" i="2" s="1"/>
  <c r="P34" i="2"/>
  <c r="O34" i="2" s="1"/>
  <c r="P46" i="2"/>
  <c r="O46" i="2" s="1"/>
  <c r="P48" i="2"/>
  <c r="O48" i="2" s="1"/>
  <c r="P25" i="2"/>
  <c r="O25" i="2" s="1"/>
  <c r="D23" i="2"/>
  <c r="B23" i="2" s="1"/>
  <c r="C23" i="2" s="1"/>
  <c r="P5" i="2"/>
  <c r="O5" i="2" s="1"/>
  <c r="P22" i="2"/>
  <c r="O22" i="2" s="1"/>
  <c r="P41" i="2"/>
  <c r="O41" i="2" s="1"/>
  <c r="D37" i="2"/>
  <c r="B37" i="2" s="1"/>
  <c r="C37" i="2" s="1"/>
  <c r="D4" i="2"/>
  <c r="B4" i="2" s="1"/>
  <c r="C4" i="2" s="1"/>
  <c r="P37" i="2"/>
  <c r="O37" i="2" s="1"/>
  <c r="P6" i="2"/>
  <c r="O6" i="2" s="1"/>
  <c r="P31" i="2"/>
  <c r="O31" i="2" s="1"/>
  <c r="D15" i="2"/>
  <c r="B15" i="2" s="1"/>
  <c r="C15" i="2" s="1"/>
  <c r="P39" i="2"/>
  <c r="O39" i="2" s="1"/>
  <c r="P43" i="2"/>
  <c r="O43" i="2" s="1"/>
  <c r="P7" i="2"/>
  <c r="O7" i="2" s="1"/>
  <c r="P57" i="2"/>
  <c r="O57" i="2" s="1"/>
  <c r="D30" i="2"/>
  <c r="B30" i="2" s="1"/>
  <c r="C30" i="2" s="1"/>
  <c r="D5" i="2"/>
  <c r="B5" i="2" s="1"/>
  <c r="C5" i="2" s="1"/>
  <c r="AC11" i="11"/>
  <c r="AC9" i="11"/>
  <c r="AC10" i="11"/>
  <c r="C5" i="1"/>
  <c r="E6" i="11"/>
  <c r="I49" i="1" l="1"/>
  <c r="G49" i="1"/>
  <c r="J49" i="1"/>
  <c r="J50" i="1" s="1"/>
  <c r="D49" i="1"/>
  <c r="D50" i="1" s="1"/>
  <c r="N49" i="1"/>
  <c r="E49" i="1"/>
  <c r="K49" i="1"/>
  <c r="K50" i="1" s="1"/>
  <c r="L52" i="2"/>
  <c r="L50" i="2"/>
  <c r="L51" i="2"/>
  <c r="L40" i="2"/>
  <c r="L53" i="2"/>
  <c r="L41" i="2"/>
  <c r="L49" i="2"/>
  <c r="L46" i="2"/>
  <c r="L54" i="2"/>
  <c r="L44" i="2"/>
  <c r="K23" i="2" s="1"/>
  <c r="L45" i="2"/>
  <c r="L42" i="2"/>
  <c r="C42" i="1"/>
  <c r="C95" i="1"/>
  <c r="C84" i="1"/>
  <c r="C77" i="1"/>
  <c r="C70" i="1"/>
  <c r="C59" i="1"/>
  <c r="C52" i="1"/>
  <c r="C28" i="1"/>
  <c r="C26" i="1"/>
  <c r="C22" i="1"/>
  <c r="C19" i="1"/>
  <c r="C17" i="1"/>
  <c r="C15" i="1"/>
  <c r="C101" i="1"/>
  <c r="C94" i="1"/>
  <c r="C83" i="1"/>
  <c r="C76" i="1"/>
  <c r="C69" i="1"/>
  <c r="C58" i="1"/>
  <c r="C38" i="1"/>
  <c r="C36" i="1"/>
  <c r="C14" i="1"/>
  <c r="C10" i="1"/>
  <c r="C8" i="1"/>
  <c r="C100" i="1"/>
  <c r="C96" i="1"/>
  <c r="C93" i="1"/>
  <c r="C87" i="1"/>
  <c r="C80" i="1"/>
  <c r="C78" i="1"/>
  <c r="C75" i="1"/>
  <c r="C73" i="1"/>
  <c r="C68" i="1"/>
  <c r="C62" i="1"/>
  <c r="C57" i="1"/>
  <c r="C53" i="1"/>
  <c r="C46" i="1"/>
  <c r="C35" i="1"/>
  <c r="C45" i="1"/>
  <c r="C27" i="1"/>
  <c r="C18" i="1"/>
  <c r="C39" i="1"/>
  <c r="C30" i="1"/>
  <c r="C11" i="1"/>
  <c r="C97" i="1"/>
  <c r="C90" i="1"/>
  <c r="C79" i="1"/>
  <c r="C74" i="1"/>
  <c r="C65" i="1"/>
  <c r="C56" i="1"/>
  <c r="C34" i="1"/>
  <c r="C25" i="1"/>
  <c r="C16" i="1"/>
  <c r="C37" i="1"/>
  <c r="C31" i="1"/>
  <c r="C29" i="1"/>
  <c r="C9" i="1"/>
  <c r="B7" i="11"/>
  <c r="AC8" i="11"/>
  <c r="E50" i="1" l="1"/>
  <c r="F50" i="1" s="1"/>
  <c r="F49" i="1"/>
  <c r="N50" i="1"/>
  <c r="O50" i="1" s="1"/>
  <c r="O49" i="1"/>
  <c r="G50" i="1"/>
  <c r="H49" i="1"/>
  <c r="I50" i="1"/>
  <c r="L50" i="1" s="1"/>
  <c r="M49" i="1"/>
  <c r="L49" i="1"/>
  <c r="K8" i="2"/>
  <c r="I8" i="2" s="1"/>
  <c r="J8" i="2" s="1"/>
  <c r="K15" i="2"/>
  <c r="I15" i="2" s="1"/>
  <c r="J15" i="2" s="1"/>
  <c r="K38" i="2"/>
  <c r="K52" i="2"/>
  <c r="I52" i="2" s="1"/>
  <c r="J52" i="2" s="1"/>
  <c r="K51" i="2"/>
  <c r="I51" i="2" s="1"/>
  <c r="J51" i="2" s="1"/>
  <c r="K45" i="2"/>
  <c r="I45" i="2" s="1"/>
  <c r="J45" i="2" s="1"/>
  <c r="K46" i="2"/>
  <c r="I46" i="2" s="1"/>
  <c r="J46" i="2" s="1"/>
  <c r="K42" i="2"/>
  <c r="I42" i="2" s="1"/>
  <c r="J42" i="2" s="1"/>
  <c r="K33" i="2"/>
  <c r="I33" i="2" s="1"/>
  <c r="J33" i="2" s="1"/>
  <c r="K30" i="2"/>
  <c r="I30" i="2" s="1"/>
  <c r="J30" i="2" s="1"/>
  <c r="K26" i="2"/>
  <c r="I26" i="2" s="1"/>
  <c r="J26" i="2" s="1"/>
  <c r="K22" i="2"/>
  <c r="I22" i="2" s="1"/>
  <c r="J22" i="2" s="1"/>
  <c r="K32" i="2"/>
  <c r="I32" i="2" s="1"/>
  <c r="J32" i="2" s="1"/>
  <c r="K6" i="2"/>
  <c r="I6" i="2" s="1"/>
  <c r="J6" i="2" s="1"/>
  <c r="K9" i="2"/>
  <c r="I9" i="2" s="1"/>
  <c r="J9" i="2" s="1"/>
  <c r="K37" i="2"/>
  <c r="I37" i="2" s="1"/>
  <c r="J37" i="2" s="1"/>
  <c r="K34" i="2"/>
  <c r="I34" i="2" s="1"/>
  <c r="J34" i="2" s="1"/>
  <c r="K27" i="2"/>
  <c r="I27" i="2" s="1"/>
  <c r="J27" i="2" s="1"/>
  <c r="K13" i="2"/>
  <c r="I13" i="2" s="1"/>
  <c r="J13" i="2" s="1"/>
  <c r="K18" i="2"/>
  <c r="I18" i="2" s="1"/>
  <c r="J18" i="2" s="1"/>
  <c r="K24" i="2"/>
  <c r="I24" i="2" s="1"/>
  <c r="J24" i="2" s="1"/>
  <c r="K19" i="2"/>
  <c r="I19" i="2" s="1"/>
  <c r="J19" i="2" s="1"/>
  <c r="K41" i="2"/>
  <c r="I41" i="2" s="1"/>
  <c r="J41" i="2" s="1"/>
  <c r="K40" i="2"/>
  <c r="I40" i="2" s="1"/>
  <c r="J40" i="2" s="1"/>
  <c r="K29" i="2"/>
  <c r="I29" i="2" s="1"/>
  <c r="J29" i="2" s="1"/>
  <c r="K35" i="2"/>
  <c r="I35" i="2" s="1"/>
  <c r="J35" i="2" s="1"/>
  <c r="K11" i="2"/>
  <c r="I11" i="2" s="1"/>
  <c r="J11" i="2" s="1"/>
  <c r="K21" i="2"/>
  <c r="I21" i="2" s="1"/>
  <c r="J21" i="2" s="1"/>
  <c r="K12" i="2"/>
  <c r="I12" i="2" s="1"/>
  <c r="J12" i="2" s="1"/>
  <c r="K10" i="2"/>
  <c r="I10" i="2" s="1"/>
  <c r="J10" i="2" s="1"/>
  <c r="K4" i="2"/>
  <c r="I4" i="2" s="1"/>
  <c r="K39" i="2"/>
  <c r="I39" i="2" s="1"/>
  <c r="J39" i="2" s="1"/>
  <c r="K7" i="2"/>
  <c r="I7" i="2" s="1"/>
  <c r="J7" i="2" s="1"/>
  <c r="K36" i="2"/>
  <c r="I36" i="2" s="1"/>
  <c r="J36" i="2" s="1"/>
  <c r="K16" i="2"/>
  <c r="I16" i="2" s="1"/>
  <c r="J16" i="2" s="1"/>
  <c r="K14" i="2"/>
  <c r="I14" i="2" s="1"/>
  <c r="J14" i="2" s="1"/>
  <c r="K17" i="2"/>
  <c r="I17" i="2" s="1"/>
  <c r="J17" i="2" s="1"/>
  <c r="K20" i="2"/>
  <c r="I20" i="2" s="1"/>
  <c r="J20" i="2" s="1"/>
  <c r="K31" i="2"/>
  <c r="I31" i="2" s="1"/>
  <c r="J31" i="2" s="1"/>
  <c r="K60" i="2"/>
  <c r="I60" i="2" s="1"/>
  <c r="J60" i="2" s="1"/>
  <c r="K25" i="2"/>
  <c r="I25" i="2" s="1"/>
  <c r="J25" i="2" s="1"/>
  <c r="K5" i="2"/>
  <c r="I5" i="2" s="1"/>
  <c r="J5" i="2" s="1"/>
  <c r="K28" i="2"/>
  <c r="I28" i="2" s="1"/>
  <c r="J28" i="2" s="1"/>
  <c r="K57" i="2"/>
  <c r="I57" i="2" s="1"/>
  <c r="J57" i="2" s="1"/>
  <c r="K56" i="2"/>
  <c r="I56" i="2" s="1"/>
  <c r="J56" i="2" s="1"/>
  <c r="K59" i="2"/>
  <c r="I59" i="2" s="1"/>
  <c r="J59" i="2" s="1"/>
  <c r="K55" i="2"/>
  <c r="I55" i="2" s="1"/>
  <c r="J55" i="2" s="1"/>
  <c r="K58" i="2"/>
  <c r="I58" i="2" s="1"/>
  <c r="J58" i="2" s="1"/>
  <c r="K54" i="2"/>
  <c r="I54" i="2" s="1"/>
  <c r="J54" i="2" s="1"/>
  <c r="K53" i="2"/>
  <c r="I53" i="2" s="1"/>
  <c r="J53" i="2" s="1"/>
  <c r="K47" i="2"/>
  <c r="I47" i="2" s="1"/>
  <c r="J47" i="2" s="1"/>
  <c r="K44" i="2"/>
  <c r="I44" i="2" s="1"/>
  <c r="J44" i="2" s="1"/>
  <c r="K50" i="2"/>
  <c r="I50" i="2" s="1"/>
  <c r="J50" i="2" s="1"/>
  <c r="K43" i="2"/>
  <c r="I43" i="2" s="1"/>
  <c r="J43" i="2" s="1"/>
  <c r="K49" i="2"/>
  <c r="I49" i="2" s="1"/>
  <c r="J49" i="2" s="1"/>
  <c r="K48" i="2"/>
  <c r="I48" i="2" s="1"/>
  <c r="J48" i="2" s="1"/>
  <c r="I38" i="2"/>
  <c r="J38" i="2" s="1"/>
  <c r="I23" i="2"/>
  <c r="J23" i="2" s="1"/>
  <c r="G42" i="1"/>
  <c r="G43" i="1" s="1"/>
  <c r="I42" i="1"/>
  <c r="I43" i="1" s="1"/>
  <c r="J42" i="1"/>
  <c r="J43" i="1" s="1"/>
  <c r="K42" i="1"/>
  <c r="K43" i="1" s="1"/>
  <c r="D42" i="1"/>
  <c r="D43" i="1" s="1"/>
  <c r="N42" i="1"/>
  <c r="N43" i="1" s="1"/>
  <c r="E42" i="1"/>
  <c r="E43" i="1" s="1"/>
  <c r="G34" i="1"/>
  <c r="N34" i="1"/>
  <c r="K34" i="1"/>
  <c r="J34" i="1"/>
  <c r="E34" i="1"/>
  <c r="I34" i="1"/>
  <c r="D34" i="1"/>
  <c r="G18" i="1"/>
  <c r="N18" i="1"/>
  <c r="K18" i="1"/>
  <c r="J18" i="1"/>
  <c r="E18" i="1"/>
  <c r="I18" i="1"/>
  <c r="D18" i="1"/>
  <c r="J75" i="1"/>
  <c r="D75" i="1"/>
  <c r="I75" i="1"/>
  <c r="K75" i="1"/>
  <c r="G75" i="1"/>
  <c r="E75" i="1"/>
  <c r="N75" i="1"/>
  <c r="N36" i="1"/>
  <c r="E36" i="1"/>
  <c r="D36" i="1"/>
  <c r="K36" i="1"/>
  <c r="J36" i="1"/>
  <c r="G36" i="1"/>
  <c r="I36" i="1"/>
  <c r="J19" i="1"/>
  <c r="E19" i="1"/>
  <c r="N19" i="1"/>
  <c r="I19" i="1"/>
  <c r="K19" i="1"/>
  <c r="G19" i="1"/>
  <c r="D19" i="1"/>
  <c r="G56" i="1"/>
  <c r="N56" i="1"/>
  <c r="K56" i="1"/>
  <c r="J56" i="1"/>
  <c r="E56" i="1"/>
  <c r="I56" i="1"/>
  <c r="D56" i="1"/>
  <c r="G27" i="1"/>
  <c r="N27" i="1"/>
  <c r="K27" i="1"/>
  <c r="J27" i="1"/>
  <c r="E27" i="1"/>
  <c r="I27" i="1"/>
  <c r="D27" i="1"/>
  <c r="D78" i="1"/>
  <c r="J78" i="1"/>
  <c r="I78" i="1"/>
  <c r="G78" i="1"/>
  <c r="N78" i="1"/>
  <c r="K78" i="1"/>
  <c r="E78" i="1"/>
  <c r="D38" i="1"/>
  <c r="I38" i="1"/>
  <c r="G38" i="1"/>
  <c r="N38" i="1"/>
  <c r="K38" i="1"/>
  <c r="J38" i="1"/>
  <c r="E38" i="1"/>
  <c r="N22" i="1"/>
  <c r="E22" i="1"/>
  <c r="D22" i="1"/>
  <c r="G22" i="1"/>
  <c r="I22" i="1"/>
  <c r="K22" i="1"/>
  <c r="J22" i="1"/>
  <c r="G65" i="1"/>
  <c r="N65" i="1"/>
  <c r="K65" i="1"/>
  <c r="J65" i="1"/>
  <c r="E65" i="1"/>
  <c r="I65" i="1"/>
  <c r="D65" i="1"/>
  <c r="J45" i="1"/>
  <c r="I45" i="1"/>
  <c r="K45" i="1"/>
  <c r="G45" i="1"/>
  <c r="D45" i="1"/>
  <c r="N45" i="1"/>
  <c r="E45" i="1"/>
  <c r="J80" i="1"/>
  <c r="N80" i="1"/>
  <c r="D80" i="1"/>
  <c r="I80" i="1"/>
  <c r="K80" i="1"/>
  <c r="G80" i="1"/>
  <c r="E80" i="1"/>
  <c r="N58" i="1"/>
  <c r="E58" i="1"/>
  <c r="G58" i="1"/>
  <c r="J58" i="1"/>
  <c r="D58" i="1"/>
  <c r="I58" i="1"/>
  <c r="K58" i="1"/>
  <c r="D26" i="1"/>
  <c r="N26" i="1"/>
  <c r="K26" i="1"/>
  <c r="J26" i="1"/>
  <c r="I26" i="1"/>
  <c r="G26" i="1"/>
  <c r="E26" i="1"/>
  <c r="G74" i="1"/>
  <c r="N74" i="1"/>
  <c r="K74" i="1"/>
  <c r="J74" i="1"/>
  <c r="E74" i="1"/>
  <c r="I74" i="1"/>
  <c r="D74" i="1"/>
  <c r="J35" i="1"/>
  <c r="K35" i="1"/>
  <c r="G35" i="1"/>
  <c r="E35" i="1"/>
  <c r="N35" i="1"/>
  <c r="D35" i="1"/>
  <c r="I35" i="1"/>
  <c r="D87" i="1"/>
  <c r="J87" i="1"/>
  <c r="I87" i="1"/>
  <c r="G87" i="1"/>
  <c r="N87" i="1"/>
  <c r="K87" i="1"/>
  <c r="E87" i="1"/>
  <c r="N69" i="1"/>
  <c r="E69" i="1"/>
  <c r="J69" i="1"/>
  <c r="D69" i="1"/>
  <c r="I69" i="1"/>
  <c r="K69" i="1"/>
  <c r="G69" i="1"/>
  <c r="J28" i="1"/>
  <c r="N28" i="1"/>
  <c r="D28" i="1"/>
  <c r="E28" i="1"/>
  <c r="I28" i="1"/>
  <c r="K28" i="1"/>
  <c r="G28" i="1"/>
  <c r="N9" i="1"/>
  <c r="K9" i="1"/>
  <c r="J9" i="1"/>
  <c r="I9" i="1"/>
  <c r="G9" i="1"/>
  <c r="E9" i="1"/>
  <c r="D9" i="1"/>
  <c r="G79" i="1"/>
  <c r="N79" i="1"/>
  <c r="K79" i="1"/>
  <c r="J79" i="1"/>
  <c r="E79" i="1"/>
  <c r="I79" i="1"/>
  <c r="D79" i="1"/>
  <c r="N46" i="1"/>
  <c r="E46" i="1"/>
  <c r="D46" i="1"/>
  <c r="I46" i="1"/>
  <c r="K46" i="1"/>
  <c r="J46" i="1"/>
  <c r="G46" i="1"/>
  <c r="J93" i="1"/>
  <c r="N93" i="1"/>
  <c r="D93" i="1"/>
  <c r="I93" i="1"/>
  <c r="E93" i="1"/>
  <c r="K93" i="1"/>
  <c r="G93" i="1"/>
  <c r="N76" i="1"/>
  <c r="E76" i="1"/>
  <c r="K76" i="1"/>
  <c r="J76" i="1"/>
  <c r="D76" i="1"/>
  <c r="I76" i="1"/>
  <c r="G76" i="1"/>
  <c r="N52" i="1"/>
  <c r="K52" i="1"/>
  <c r="J52" i="1"/>
  <c r="I52" i="1"/>
  <c r="G52" i="1"/>
  <c r="E52" i="1"/>
  <c r="D52" i="1"/>
  <c r="N29" i="1"/>
  <c r="E29" i="1"/>
  <c r="D29" i="1"/>
  <c r="G29" i="1"/>
  <c r="I29" i="1"/>
  <c r="K29" i="1"/>
  <c r="J29" i="1"/>
  <c r="G90" i="1"/>
  <c r="N90" i="1"/>
  <c r="K90" i="1"/>
  <c r="J90" i="1"/>
  <c r="D90" i="1"/>
  <c r="E90" i="1"/>
  <c r="I90" i="1"/>
  <c r="D53" i="1"/>
  <c r="J53" i="1"/>
  <c r="I53" i="1"/>
  <c r="G53" i="1"/>
  <c r="N53" i="1"/>
  <c r="K53" i="1"/>
  <c r="E53" i="1"/>
  <c r="D96" i="1"/>
  <c r="J96" i="1"/>
  <c r="I96" i="1"/>
  <c r="G96" i="1"/>
  <c r="N96" i="1"/>
  <c r="K96" i="1"/>
  <c r="E96" i="1"/>
  <c r="N83" i="1"/>
  <c r="E83" i="1"/>
  <c r="G83" i="1"/>
  <c r="K83" i="1"/>
  <c r="D83" i="1"/>
  <c r="J83" i="1"/>
  <c r="I83" i="1"/>
  <c r="N59" i="1"/>
  <c r="K59" i="1"/>
  <c r="J59" i="1"/>
  <c r="I59" i="1"/>
  <c r="G59" i="1"/>
  <c r="E59" i="1"/>
  <c r="D59" i="1"/>
  <c r="D31" i="1"/>
  <c r="I31" i="1"/>
  <c r="G31" i="1"/>
  <c r="J31" i="1"/>
  <c r="K31" i="1"/>
  <c r="N31" i="1"/>
  <c r="E31" i="1"/>
  <c r="G97" i="1"/>
  <c r="N97" i="1"/>
  <c r="K97" i="1"/>
  <c r="J97" i="1"/>
  <c r="I97" i="1"/>
  <c r="D97" i="1"/>
  <c r="E97" i="1"/>
  <c r="J57" i="1"/>
  <c r="E57" i="1"/>
  <c r="I57" i="1"/>
  <c r="K57" i="1"/>
  <c r="G57" i="1"/>
  <c r="D57" i="1"/>
  <c r="N57" i="1"/>
  <c r="J100" i="1"/>
  <c r="I100" i="1"/>
  <c r="G100" i="1"/>
  <c r="K100" i="1"/>
  <c r="N100" i="1"/>
  <c r="D100" i="1"/>
  <c r="E100" i="1"/>
  <c r="N94" i="1"/>
  <c r="E94" i="1"/>
  <c r="G94" i="1"/>
  <c r="D94" i="1"/>
  <c r="K94" i="1"/>
  <c r="J94" i="1"/>
  <c r="I94" i="1"/>
  <c r="N70" i="1"/>
  <c r="K70" i="1"/>
  <c r="J70" i="1"/>
  <c r="I70" i="1"/>
  <c r="G70" i="1"/>
  <c r="E70" i="1"/>
  <c r="D70" i="1"/>
  <c r="N37" i="1"/>
  <c r="K37" i="1"/>
  <c r="J37" i="1"/>
  <c r="I37" i="1"/>
  <c r="G37" i="1"/>
  <c r="E37" i="1"/>
  <c r="D37" i="1"/>
  <c r="G11" i="1"/>
  <c r="N11" i="1"/>
  <c r="K11" i="1"/>
  <c r="J11" i="1"/>
  <c r="I11" i="1"/>
  <c r="D11" i="1"/>
  <c r="E11" i="1"/>
  <c r="D62" i="1"/>
  <c r="J62" i="1"/>
  <c r="I62" i="1"/>
  <c r="G62" i="1"/>
  <c r="N62" i="1"/>
  <c r="K62" i="1"/>
  <c r="E62" i="1"/>
  <c r="N8" i="1"/>
  <c r="E8" i="1"/>
  <c r="D8" i="1"/>
  <c r="G8" i="1"/>
  <c r="K8" i="1"/>
  <c r="I8" i="1"/>
  <c r="J8" i="1"/>
  <c r="N101" i="1"/>
  <c r="G101" i="1"/>
  <c r="E101" i="1"/>
  <c r="K101" i="1"/>
  <c r="J101" i="1"/>
  <c r="D101" i="1"/>
  <c r="I101" i="1"/>
  <c r="N77" i="1"/>
  <c r="K77" i="1"/>
  <c r="J77" i="1"/>
  <c r="I77" i="1"/>
  <c r="G77" i="1"/>
  <c r="E77" i="1"/>
  <c r="D77" i="1"/>
  <c r="N16" i="1"/>
  <c r="K16" i="1"/>
  <c r="J16" i="1"/>
  <c r="I16" i="1"/>
  <c r="G16" i="1"/>
  <c r="E16" i="1"/>
  <c r="D16" i="1"/>
  <c r="N30" i="1"/>
  <c r="K30" i="1"/>
  <c r="J30" i="1"/>
  <c r="I30" i="1"/>
  <c r="G30" i="1"/>
  <c r="E30" i="1"/>
  <c r="D30" i="1"/>
  <c r="J68" i="1"/>
  <c r="E68" i="1"/>
  <c r="N68" i="1"/>
  <c r="I68" i="1"/>
  <c r="D68" i="1"/>
  <c r="K68" i="1"/>
  <c r="G68" i="1"/>
  <c r="D10" i="1"/>
  <c r="I10" i="1"/>
  <c r="G10" i="1"/>
  <c r="N10" i="1"/>
  <c r="K10" i="1"/>
  <c r="J10" i="1"/>
  <c r="E10" i="1"/>
  <c r="N15" i="1"/>
  <c r="D15" i="1"/>
  <c r="E15" i="1"/>
  <c r="K15" i="1"/>
  <c r="J15" i="1"/>
  <c r="G15" i="1"/>
  <c r="I15" i="1"/>
  <c r="N84" i="1"/>
  <c r="K84" i="1"/>
  <c r="J84" i="1"/>
  <c r="I84" i="1"/>
  <c r="G84" i="1"/>
  <c r="E84" i="1"/>
  <c r="D84" i="1"/>
  <c r="N25" i="1"/>
  <c r="K25" i="1"/>
  <c r="J25" i="1"/>
  <c r="I25" i="1"/>
  <c r="G25" i="1"/>
  <c r="E25" i="1"/>
  <c r="D25" i="1"/>
  <c r="G39" i="1"/>
  <c r="K39" i="1"/>
  <c r="J39" i="1"/>
  <c r="E39" i="1"/>
  <c r="N39" i="1"/>
  <c r="I39" i="1"/>
  <c r="D39" i="1"/>
  <c r="D73" i="1"/>
  <c r="J73" i="1"/>
  <c r="I73" i="1"/>
  <c r="G73" i="1"/>
  <c r="N73" i="1"/>
  <c r="K73" i="1"/>
  <c r="E73" i="1"/>
  <c r="J14" i="1"/>
  <c r="I14" i="1"/>
  <c r="K14" i="1"/>
  <c r="G14" i="1"/>
  <c r="N14" i="1"/>
  <c r="D14" i="1"/>
  <c r="E14" i="1"/>
  <c r="D17" i="1"/>
  <c r="G17" i="1"/>
  <c r="N17" i="1"/>
  <c r="K17" i="1"/>
  <c r="J17" i="1"/>
  <c r="I17" i="1"/>
  <c r="E17" i="1"/>
  <c r="N95" i="1"/>
  <c r="K95" i="1"/>
  <c r="J95" i="1"/>
  <c r="I95" i="1"/>
  <c r="G95" i="1"/>
  <c r="E95" i="1"/>
  <c r="D95" i="1"/>
  <c r="AC7" i="11"/>
  <c r="B15" i="11"/>
  <c r="D15" i="11" s="1"/>
  <c r="B8" i="11"/>
  <c r="M50" i="1" l="1"/>
  <c r="H50" i="1"/>
  <c r="AL132" i="2"/>
  <c r="AL130" i="2"/>
  <c r="AL131" i="2"/>
  <c r="AL129" i="2"/>
  <c r="AL128" i="2"/>
  <c r="AJ263" i="2"/>
  <c r="AL260" i="2"/>
  <c r="AL263" i="2"/>
  <c r="AL262" i="2"/>
  <c r="AL261" i="2"/>
  <c r="AL264" i="2"/>
  <c r="X263" i="2"/>
  <c r="H42" i="1"/>
  <c r="L42" i="1"/>
  <c r="W198" i="2"/>
  <c r="AL198" i="2"/>
  <c r="AL196" i="2"/>
  <c r="AL197" i="2"/>
  <c r="AL195" i="2"/>
  <c r="AA196" i="2"/>
  <c r="AL194" i="2"/>
  <c r="AH329" i="2"/>
  <c r="AL329" i="2"/>
  <c r="AL327" i="2"/>
  <c r="AL330" i="2"/>
  <c r="AL328" i="2"/>
  <c r="AL326" i="2"/>
  <c r="AH128" i="2"/>
  <c r="J4" i="2"/>
  <c r="AF65" i="2" s="1"/>
  <c r="AL66" i="2"/>
  <c r="AL62" i="2"/>
  <c r="AL65" i="2"/>
  <c r="AL64" i="2"/>
  <c r="AL63" i="2"/>
  <c r="M42" i="1"/>
  <c r="O42" i="1"/>
  <c r="F42" i="1"/>
  <c r="O43" i="1"/>
  <c r="F43" i="1"/>
  <c r="M43" i="1"/>
  <c r="L43" i="1"/>
  <c r="H43" i="1"/>
  <c r="AC6" i="11"/>
  <c r="B16" i="11"/>
  <c r="D16" i="11" s="1"/>
  <c r="B9" i="11"/>
  <c r="D8" i="11"/>
  <c r="AC330" i="2" l="1"/>
  <c r="AJ194" i="2"/>
  <c r="AG64" i="2"/>
  <c r="AG66" i="2"/>
  <c r="Z326" i="2"/>
  <c r="AA329" i="2"/>
  <c r="AC329" i="2"/>
  <c r="W66" i="2"/>
  <c r="AC66" i="2"/>
  <c r="AD329" i="2"/>
  <c r="AG330" i="2"/>
  <c r="X326" i="2"/>
  <c r="Z329" i="2"/>
  <c r="Z63" i="2"/>
  <c r="AC327" i="2"/>
  <c r="AB64" i="2"/>
  <c r="AA326" i="2"/>
  <c r="AA62" i="2"/>
  <c r="AA66" i="2"/>
  <c r="Z66" i="2"/>
  <c r="Z198" i="2"/>
  <c r="AF198" i="2"/>
  <c r="AJ196" i="2"/>
  <c r="W197" i="2"/>
  <c r="X197" i="2"/>
  <c r="AK197" i="2"/>
  <c r="Z197" i="2"/>
  <c r="X198" i="2"/>
  <c r="Y198" i="2" s="1"/>
  <c r="AJ197" i="2"/>
  <c r="AG196" i="2"/>
  <c r="AK196" i="2"/>
  <c r="AF196" i="2"/>
  <c r="AG195" i="2"/>
  <c r="AJ198" i="2"/>
  <c r="AK195" i="2"/>
  <c r="AB194" i="2"/>
  <c r="W261" i="2"/>
  <c r="AA263" i="2"/>
  <c r="AH262" i="2"/>
  <c r="W65" i="2"/>
  <c r="AB327" i="2"/>
  <c r="AJ262" i="2"/>
  <c r="W327" i="2"/>
  <c r="AK330" i="2"/>
  <c r="AD66" i="2"/>
  <c r="Z330" i="2"/>
  <c r="AD326" i="2"/>
  <c r="AB330" i="2"/>
  <c r="AH327" i="2"/>
  <c r="W326" i="2"/>
  <c r="AK63" i="2"/>
  <c r="AF66" i="2"/>
  <c r="AA328" i="2"/>
  <c r="AF326" i="2"/>
  <c r="AF329" i="2"/>
  <c r="AH326" i="2"/>
  <c r="X330" i="2"/>
  <c r="AD327" i="2"/>
  <c r="AC328" i="2"/>
  <c r="X329" i="2"/>
  <c r="AF328" i="2"/>
  <c r="AK329" i="2"/>
  <c r="AA330" i="2"/>
  <c r="Z327" i="2"/>
  <c r="AK327" i="2"/>
  <c r="AJ329" i="2"/>
  <c r="AB329" i="2"/>
  <c r="W328" i="2"/>
  <c r="AK328" i="2"/>
  <c r="Z262" i="2"/>
  <c r="AK326" i="2"/>
  <c r="AH328" i="2"/>
  <c r="AG326" i="2"/>
  <c r="AJ330" i="2"/>
  <c r="AD62" i="2"/>
  <c r="AF327" i="2"/>
  <c r="AB326" i="2"/>
  <c r="X328" i="2"/>
  <c r="W329" i="2"/>
  <c r="AG327" i="2"/>
  <c r="AC326" i="2"/>
  <c r="W330" i="2"/>
  <c r="AD330" i="2"/>
  <c r="AJ326" i="2"/>
  <c r="AG329" i="2"/>
  <c r="AK65" i="2"/>
  <c r="AA327" i="2"/>
  <c r="X327" i="2"/>
  <c r="AF330" i="2"/>
  <c r="Z328" i="2"/>
  <c r="AH330" i="2"/>
  <c r="AG328" i="2"/>
  <c r="AJ328" i="2"/>
  <c r="AD328" i="2"/>
  <c r="AB328" i="2"/>
  <c r="AJ327" i="2"/>
  <c r="AB63" i="2"/>
  <c r="AH65" i="2"/>
  <c r="X65" i="2"/>
  <c r="Z195" i="2"/>
  <c r="W194" i="2"/>
  <c r="AC195" i="2"/>
  <c r="AA194" i="2"/>
  <c r="AC196" i="2"/>
  <c r="AC198" i="2"/>
  <c r="AC194" i="2"/>
  <c r="AC262" i="2"/>
  <c r="X262" i="2"/>
  <c r="AB260" i="2"/>
  <c r="AF262" i="2"/>
  <c r="AJ264" i="2"/>
  <c r="AK261" i="2"/>
  <c r="AG261" i="2"/>
  <c r="Z260" i="2"/>
  <c r="X261" i="2"/>
  <c r="AB262" i="2"/>
  <c r="Z264" i="2"/>
  <c r="AG63" i="2"/>
  <c r="Z65" i="2"/>
  <c r="AD65" i="2"/>
  <c r="AG65" i="2"/>
  <c r="X64" i="2"/>
  <c r="AC197" i="2"/>
  <c r="Z194" i="2"/>
  <c r="W196" i="2"/>
  <c r="AF194" i="2"/>
  <c r="X194" i="2"/>
  <c r="AB198" i="2"/>
  <c r="AK198" i="2"/>
  <c r="AF261" i="2"/>
  <c r="AC263" i="2"/>
  <c r="AA260" i="2"/>
  <c r="Z263" i="2"/>
  <c r="AK264" i="2"/>
  <c r="AH261" i="2"/>
  <c r="AG264" i="2"/>
  <c r="AJ64" i="2"/>
  <c r="AC62" i="2"/>
  <c r="AH62" i="2"/>
  <c r="AH64" i="2"/>
  <c r="X62" i="2"/>
  <c r="AC63" i="2"/>
  <c r="AD198" i="2"/>
  <c r="AE198" i="2" s="1"/>
  <c r="AG194" i="2"/>
  <c r="AG198" i="2"/>
  <c r="AB196" i="2"/>
  <c r="AB195" i="2"/>
  <c r="AD197" i="2"/>
  <c r="X264" i="2"/>
  <c r="AD261" i="2"/>
  <c r="AD262" i="2"/>
  <c r="W260" i="2"/>
  <c r="AH260" i="2"/>
  <c r="W264" i="2"/>
  <c r="AF264" i="2"/>
  <c r="X260" i="2"/>
  <c r="AC264" i="2"/>
  <c r="AG263" i="2"/>
  <c r="AJ261" i="2"/>
  <c r="AF62" i="2"/>
  <c r="AG62" i="2"/>
  <c r="AC64" i="2"/>
  <c r="X63" i="2"/>
  <c r="AJ66" i="2"/>
  <c r="AA195" i="2"/>
  <c r="X196" i="2"/>
  <c r="AD194" i="2"/>
  <c r="AD196" i="2"/>
  <c r="AF195" i="2"/>
  <c r="W195" i="2"/>
  <c r="AD263" i="2"/>
  <c r="AA262" i="2"/>
  <c r="AB261" i="2"/>
  <c r="AC261" i="2"/>
  <c r="AH263" i="2"/>
  <c r="AK260" i="2"/>
  <c r="AC65" i="2"/>
  <c r="W62" i="2"/>
  <c r="AD63" i="2"/>
  <c r="AB66" i="2"/>
  <c r="AJ62" i="2"/>
  <c r="AB62" i="2"/>
  <c r="AJ65" i="2"/>
  <c r="W63" i="2"/>
  <c r="AF64" i="2"/>
  <c r="AD64" i="2"/>
  <c r="Z62" i="2"/>
  <c r="AH63" i="2"/>
  <c r="AA65" i="2"/>
  <c r="AF63" i="2"/>
  <c r="X195" i="2"/>
  <c r="AA197" i="2"/>
  <c r="AG197" i="2"/>
  <c r="AJ195" i="2"/>
  <c r="AH196" i="2"/>
  <c r="AD260" i="2"/>
  <c r="Z261" i="2"/>
  <c r="W262" i="2"/>
  <c r="W263" i="2"/>
  <c r="Y263" i="2" s="1"/>
  <c r="AK262" i="2"/>
  <c r="AH264" i="2"/>
  <c r="AH198" i="2"/>
  <c r="AF197" i="2"/>
  <c r="Z196" i="2"/>
  <c r="AB197" i="2"/>
  <c r="AA198" i="2"/>
  <c r="AH195" i="2"/>
  <c r="AB264" i="2"/>
  <c r="AA264" i="2"/>
  <c r="AB263" i="2"/>
  <c r="AD264" i="2"/>
  <c r="AK263" i="2"/>
  <c r="AG262" i="2"/>
  <c r="AG260" i="2"/>
  <c r="AC129" i="2"/>
  <c r="AG132" i="2"/>
  <c r="AC131" i="2"/>
  <c r="AA132" i="2"/>
  <c r="AJ129" i="2"/>
  <c r="AJ132" i="2"/>
  <c r="AJ128" i="2"/>
  <c r="AK131" i="2"/>
  <c r="AK130" i="2"/>
  <c r="AB128" i="2"/>
  <c r="X128" i="2"/>
  <c r="X129" i="2"/>
  <c r="AF128" i="2"/>
  <c r="X130" i="2"/>
  <c r="W128" i="2"/>
  <c r="W130" i="2"/>
  <c r="Z128" i="2"/>
  <c r="Z129" i="2"/>
  <c r="W131" i="2"/>
  <c r="X131" i="2"/>
  <c r="AH131" i="2"/>
  <c r="AA130" i="2"/>
  <c r="AH132" i="2"/>
  <c r="AJ131" i="2"/>
  <c r="Z130" i="2"/>
  <c r="AD128" i="2"/>
  <c r="AK132" i="2"/>
  <c r="AB132" i="2"/>
  <c r="AJ130" i="2"/>
  <c r="AD129" i="2"/>
  <c r="AG128" i="2"/>
  <c r="AH130" i="2"/>
  <c r="AD130" i="2"/>
  <c r="AK129" i="2"/>
  <c r="Z132" i="2"/>
  <c r="AA128" i="2"/>
  <c r="AH129" i="2"/>
  <c r="AB130" i="2"/>
  <c r="W129" i="2"/>
  <c r="AC132" i="2"/>
  <c r="AB131" i="2"/>
  <c r="AK128" i="2"/>
  <c r="X132" i="2"/>
  <c r="AF129" i="2"/>
  <c r="AG131" i="2"/>
  <c r="AF130" i="2"/>
  <c r="AA131" i="2"/>
  <c r="AB129" i="2"/>
  <c r="AF132" i="2"/>
  <c r="AD132" i="2"/>
  <c r="AD131" i="2"/>
  <c r="AC130" i="2"/>
  <c r="AF131" i="2"/>
  <c r="Z131" i="2"/>
  <c r="AC128" i="2"/>
  <c r="W132" i="2"/>
  <c r="AA129" i="2"/>
  <c r="AG130" i="2"/>
  <c r="AG129" i="2"/>
  <c r="AA64" i="2"/>
  <c r="AK62" i="2"/>
  <c r="X66" i="2"/>
  <c r="W64" i="2"/>
  <c r="AB65" i="2"/>
  <c r="AK66" i="2"/>
  <c r="Z64" i="2"/>
  <c r="AH66" i="2"/>
  <c r="AJ63" i="2"/>
  <c r="AA63" i="2"/>
  <c r="AK64" i="2"/>
  <c r="AK194" i="2"/>
  <c r="AD195" i="2"/>
  <c r="AH197" i="2"/>
  <c r="AH194" i="2"/>
  <c r="AA261" i="2"/>
  <c r="AF260" i="2"/>
  <c r="AC260" i="2"/>
  <c r="AF263" i="2"/>
  <c r="AJ260" i="2"/>
  <c r="H30" i="1"/>
  <c r="F30" i="1"/>
  <c r="F45" i="1"/>
  <c r="F22" i="1"/>
  <c r="B17" i="11"/>
  <c r="D17" i="11" s="1"/>
  <c r="B10" i="11"/>
  <c r="D9" i="11"/>
  <c r="AI66" i="2" l="1"/>
  <c r="Y328" i="2"/>
  <c r="Y66" i="2"/>
  <c r="AM198" i="2"/>
  <c r="AE197" i="2"/>
  <c r="AE66" i="2"/>
  <c r="AM197" i="2"/>
  <c r="AM196" i="2"/>
  <c r="AI326" i="2"/>
  <c r="AE327" i="2"/>
  <c r="Y326" i="2"/>
  <c r="AM194" i="2"/>
  <c r="AE261" i="2"/>
  <c r="Y261" i="2"/>
  <c r="Y197" i="2"/>
  <c r="AE328" i="2"/>
  <c r="AE65" i="2"/>
  <c r="Y65" i="2"/>
  <c r="AM130" i="2"/>
  <c r="AE195" i="2"/>
  <c r="AM261" i="2"/>
  <c r="AI329" i="2"/>
  <c r="AE62" i="2"/>
  <c r="AI198" i="2"/>
  <c r="AM195" i="2"/>
  <c r="AE194" i="2"/>
  <c r="Y196" i="2"/>
  <c r="Y129" i="2"/>
  <c r="AE132" i="2"/>
  <c r="AE129" i="2"/>
  <c r="AE260" i="2"/>
  <c r="Y330" i="2"/>
  <c r="Y327" i="2"/>
  <c r="AI65" i="2"/>
  <c r="Y260" i="2"/>
  <c r="Y194" i="2"/>
  <c r="AM327" i="2"/>
  <c r="AM262" i="2"/>
  <c r="AI263" i="2"/>
  <c r="AI327" i="2"/>
  <c r="AE326" i="2"/>
  <c r="AM326" i="2"/>
  <c r="AE196" i="2"/>
  <c r="AI330" i="2"/>
  <c r="AE262" i="2"/>
  <c r="AI196" i="2"/>
  <c r="AE131" i="2"/>
  <c r="AE330" i="2"/>
  <c r="AM328" i="2"/>
  <c r="AM63" i="2"/>
  <c r="Y131" i="2"/>
  <c r="AM330" i="2"/>
  <c r="AI328" i="2"/>
  <c r="AI261" i="2"/>
  <c r="Y329" i="2"/>
  <c r="AM329" i="2"/>
  <c r="AE64" i="2"/>
  <c r="AE263" i="2"/>
  <c r="AE329" i="2"/>
  <c r="AI129" i="2"/>
  <c r="Y130" i="2"/>
  <c r="AE264" i="2"/>
  <c r="AM263" i="2"/>
  <c r="AM65" i="2"/>
  <c r="AI194" i="2"/>
  <c r="Y128" i="2"/>
  <c r="AM131" i="2"/>
  <c r="Y195" i="2"/>
  <c r="AM64" i="2"/>
  <c r="AI63" i="2"/>
  <c r="AM62" i="2"/>
  <c r="AI62" i="2"/>
  <c r="Y64" i="2"/>
  <c r="AI260" i="2"/>
  <c r="AI132" i="2"/>
  <c r="AE63" i="2"/>
  <c r="AM260" i="2"/>
  <c r="AM128" i="2"/>
  <c r="AM66" i="2"/>
  <c r="AI130" i="2"/>
  <c r="AE128" i="2"/>
  <c r="AM132" i="2"/>
  <c r="AI197" i="2"/>
  <c r="AI64" i="2"/>
  <c r="Y264" i="2"/>
  <c r="Y62" i="2"/>
  <c r="AM264" i="2"/>
  <c r="AM129" i="2"/>
  <c r="AI262" i="2"/>
  <c r="Y63" i="2"/>
  <c r="AI264" i="2"/>
  <c r="AI131" i="2"/>
  <c r="Y132" i="2"/>
  <c r="AE130" i="2"/>
  <c r="AI128" i="2"/>
  <c r="AI195" i="2"/>
  <c r="Y262" i="2"/>
  <c r="F79" i="1"/>
  <c r="L22" i="1"/>
  <c r="M18" i="1"/>
  <c r="L30" i="1"/>
  <c r="H38" i="1"/>
  <c r="H79" i="1"/>
  <c r="O62" i="1"/>
  <c r="O22" i="1"/>
  <c r="L38" i="1"/>
  <c r="O79" i="1"/>
  <c r="O30" i="1"/>
  <c r="H22" i="1"/>
  <c r="L17" i="1"/>
  <c r="L95" i="1"/>
  <c r="M79" i="1"/>
  <c r="O75" i="1"/>
  <c r="L18" i="1"/>
  <c r="M22" i="1"/>
  <c r="F18" i="1"/>
  <c r="L77" i="1"/>
  <c r="M38" i="1"/>
  <c r="O18" i="1"/>
  <c r="F38" i="1"/>
  <c r="M30" i="1"/>
  <c r="O37" i="1"/>
  <c r="L79" i="1"/>
  <c r="O38" i="1"/>
  <c r="M75" i="1"/>
  <c r="H28" i="1"/>
  <c r="H96" i="1"/>
  <c r="H101" i="1"/>
  <c r="O29" i="1"/>
  <c r="O77" i="1"/>
  <c r="H18" i="1"/>
  <c r="O70" i="1"/>
  <c r="F9" i="1"/>
  <c r="F70" i="1"/>
  <c r="H70" i="1"/>
  <c r="F14" i="1"/>
  <c r="M53" i="1"/>
  <c r="O87" i="1"/>
  <c r="H36" i="1"/>
  <c r="F11" i="1"/>
  <c r="O9" i="1"/>
  <c r="L52" i="1"/>
  <c r="H68" i="1"/>
  <c r="F73" i="1"/>
  <c r="O69" i="1"/>
  <c r="O59" i="1"/>
  <c r="H83" i="1"/>
  <c r="F52" i="1"/>
  <c r="F100" i="1"/>
  <c r="F57" i="1"/>
  <c r="H34" i="1"/>
  <c r="F37" i="1"/>
  <c r="O52" i="1"/>
  <c r="L10" i="1"/>
  <c r="O78" i="1"/>
  <c r="F84" i="1"/>
  <c r="F75" i="1"/>
  <c r="M16" i="1"/>
  <c r="M76" i="1"/>
  <c r="O10" i="1"/>
  <c r="H95" i="1"/>
  <c r="H75" i="1"/>
  <c r="H87" i="1"/>
  <c r="M70" i="1"/>
  <c r="H25" i="1"/>
  <c r="L37" i="1"/>
  <c r="H100" i="1"/>
  <c r="H97" i="1"/>
  <c r="O53" i="1"/>
  <c r="H73" i="1"/>
  <c r="M68" i="1"/>
  <c r="M34" i="1"/>
  <c r="F17" i="1"/>
  <c r="M59" i="1"/>
  <c r="H52" i="1"/>
  <c r="L69" i="1"/>
  <c r="O15" i="1"/>
  <c r="O94" i="1"/>
  <c r="F74" i="1"/>
  <c r="L15" i="1"/>
  <c r="O56" i="1"/>
  <c r="F28" i="1"/>
  <c r="L35" i="1"/>
  <c r="L100" i="1"/>
  <c r="H26" i="1"/>
  <c r="H17" i="1"/>
  <c r="H84" i="1"/>
  <c r="O14" i="1"/>
  <c r="F101" i="1"/>
  <c r="O34" i="1"/>
  <c r="O84" i="1"/>
  <c r="L11" i="1"/>
  <c r="L57" i="1"/>
  <c r="M62" i="1"/>
  <c r="O101" i="1"/>
  <c r="L87" i="1"/>
  <c r="H10" i="1"/>
  <c r="F78" i="1"/>
  <c r="M84" i="1"/>
  <c r="F69" i="1"/>
  <c r="F26" i="1"/>
  <c r="M78" i="1"/>
  <c r="F68" i="1"/>
  <c r="F15" i="1"/>
  <c r="O36" i="1"/>
  <c r="M97" i="1"/>
  <c r="L26" i="1"/>
  <c r="H58" i="1"/>
  <c r="M15" i="1"/>
  <c r="H76" i="1"/>
  <c r="M56" i="1"/>
  <c r="M58" i="1"/>
  <c r="O28" i="1"/>
  <c r="H94" i="1"/>
  <c r="M87" i="1"/>
  <c r="O65" i="1"/>
  <c r="H59" i="1"/>
  <c r="L68" i="1"/>
  <c r="O35" i="1"/>
  <c r="M65" i="1"/>
  <c r="H74" i="1"/>
  <c r="L36" i="1"/>
  <c r="F77" i="1"/>
  <c r="F94" i="1"/>
  <c r="F35" i="1"/>
  <c r="F27" i="1"/>
  <c r="L74" i="1"/>
  <c r="L29" i="1"/>
  <c r="H90" i="1"/>
  <c r="M9" i="1"/>
  <c r="L28" i="1"/>
  <c r="O25" i="1"/>
  <c r="M35" i="1"/>
  <c r="L90" i="1"/>
  <c r="M17" i="1"/>
  <c r="F93" i="1"/>
  <c r="H9" i="1"/>
  <c r="H62" i="1"/>
  <c r="M101" i="1"/>
  <c r="M94" i="1"/>
  <c r="F25" i="1"/>
  <c r="F96" i="1"/>
  <c r="H45" i="1"/>
  <c r="F16" i="1"/>
  <c r="H27" i="1"/>
  <c r="L14" i="1"/>
  <c r="F56" i="1"/>
  <c r="O95" i="1"/>
  <c r="M57" i="1"/>
  <c r="F65" i="1"/>
  <c r="O76" i="1"/>
  <c r="O74" i="1"/>
  <c r="F10" i="1"/>
  <c r="O46" i="1"/>
  <c r="H53" i="1"/>
  <c r="O26" i="1"/>
  <c r="M73" i="1"/>
  <c r="M28" i="1"/>
  <c r="L101" i="1"/>
  <c r="L25" i="1"/>
  <c r="H35" i="1"/>
  <c r="M100" i="1"/>
  <c r="O27" i="1"/>
  <c r="M36" i="1"/>
  <c r="M29" i="1"/>
  <c r="O83" i="1"/>
  <c r="H14" i="1"/>
  <c r="F58" i="1"/>
  <c r="L96" i="1"/>
  <c r="M27" i="1"/>
  <c r="M26" i="1"/>
  <c r="F83" i="1"/>
  <c r="L58" i="1"/>
  <c r="H57" i="1"/>
  <c r="L46" i="1"/>
  <c r="F90" i="1"/>
  <c r="O17" i="1"/>
  <c r="L93" i="1"/>
  <c r="O11" i="1"/>
  <c r="H77" i="1"/>
  <c r="O58" i="1"/>
  <c r="L70" i="1"/>
  <c r="L34" i="1"/>
  <c r="L16" i="1"/>
  <c r="F76" i="1"/>
  <c r="F46" i="1"/>
  <c r="M90" i="1"/>
  <c r="L78" i="1"/>
  <c r="F59" i="1"/>
  <c r="O68" i="1"/>
  <c r="H69" i="1"/>
  <c r="M37" i="1"/>
  <c r="M96" i="1"/>
  <c r="O45" i="1"/>
  <c r="L76" i="1"/>
  <c r="L27" i="1"/>
  <c r="F53" i="1"/>
  <c r="O90" i="1"/>
  <c r="L83" i="1"/>
  <c r="O57" i="1"/>
  <c r="L62" i="1"/>
  <c r="M45" i="1"/>
  <c r="F87" i="1"/>
  <c r="M74" i="1"/>
  <c r="L53" i="1"/>
  <c r="H78" i="1"/>
  <c r="O93" i="1"/>
  <c r="O73" i="1"/>
  <c r="L9" i="1"/>
  <c r="F95" i="1"/>
  <c r="M77" i="1"/>
  <c r="M52" i="1"/>
  <c r="L65" i="1"/>
  <c r="H16" i="1"/>
  <c r="O100" i="1"/>
  <c r="M46" i="1"/>
  <c r="F97" i="1"/>
  <c r="H93" i="1"/>
  <c r="M95" i="1"/>
  <c r="L59" i="1"/>
  <c r="M69" i="1"/>
  <c r="F62" i="1"/>
  <c r="L94" i="1"/>
  <c r="O96" i="1"/>
  <c r="H46" i="1"/>
  <c r="O97" i="1"/>
  <c r="F29" i="1"/>
  <c r="L84" i="1"/>
  <c r="M93" i="1"/>
  <c r="M11" i="1"/>
  <c r="H56" i="1"/>
  <c r="L73" i="1"/>
  <c r="H15" i="1"/>
  <c r="M25" i="1"/>
  <c r="F34" i="1"/>
  <c r="H37" i="1"/>
  <c r="H65" i="1"/>
  <c r="L45" i="1"/>
  <c r="O16" i="1"/>
  <c r="F36" i="1"/>
  <c r="M10" i="1"/>
  <c r="L97" i="1"/>
  <c r="H29" i="1"/>
  <c r="M83" i="1"/>
  <c r="M14" i="1"/>
  <c r="H11" i="1"/>
  <c r="L56" i="1"/>
  <c r="L75" i="1"/>
  <c r="B18" i="11"/>
  <c r="D18" i="11" s="1"/>
  <c r="B11" i="11"/>
  <c r="D10" i="11"/>
  <c r="S195" i="2" l="1"/>
  <c r="Q195" i="2" s="1"/>
  <c r="S327" i="2"/>
  <c r="Q327" i="2" s="1"/>
  <c r="S328" i="2"/>
  <c r="Q328" i="2" s="1"/>
  <c r="S329" i="2"/>
  <c r="Q329" i="2" s="1"/>
  <c r="S326" i="2"/>
  <c r="Q326" i="2" s="1"/>
  <c r="S330" i="2"/>
  <c r="Q330" i="2" s="1"/>
  <c r="S129" i="2"/>
  <c r="Q129" i="2" s="1"/>
  <c r="S62" i="2"/>
  <c r="Q62" i="2" s="1"/>
  <c r="S197" i="2"/>
  <c r="Q197" i="2" s="1"/>
  <c r="S264" i="2"/>
  <c r="Q264" i="2" s="1"/>
  <c r="S260" i="2"/>
  <c r="Q260" i="2" s="1"/>
  <c r="S196" i="2"/>
  <c r="Q196" i="2" s="1"/>
  <c r="S261" i="2"/>
  <c r="Q261" i="2" s="1"/>
  <c r="S132" i="2"/>
  <c r="Q132" i="2" s="1"/>
  <c r="S131" i="2"/>
  <c r="Q131" i="2" s="1"/>
  <c r="S198" i="2"/>
  <c r="Q198" i="2" s="1"/>
  <c r="S64" i="2"/>
  <c r="Q64" i="2" s="1"/>
  <c r="S66" i="2"/>
  <c r="Q66" i="2" s="1"/>
  <c r="S194" i="2"/>
  <c r="Q194" i="2" s="1"/>
  <c r="S263" i="2"/>
  <c r="Q263" i="2" s="1"/>
  <c r="S63" i="2"/>
  <c r="Q63" i="2" s="1"/>
  <c r="S128" i="2"/>
  <c r="Q128" i="2" s="1"/>
  <c r="S262" i="2"/>
  <c r="Q262" i="2" s="1"/>
  <c r="S65" i="2"/>
  <c r="Q65" i="2" s="1"/>
  <c r="S130" i="2"/>
  <c r="Q130" i="2" s="1"/>
  <c r="O31" i="1"/>
  <c r="F31" i="1"/>
  <c r="B19" i="11"/>
  <c r="D19" i="11" s="1"/>
  <c r="B12" i="11"/>
  <c r="D11" i="11"/>
  <c r="P330" i="2" l="1"/>
  <c r="O330" i="2" s="1"/>
  <c r="J330" i="2" s="1"/>
  <c r="P329" i="2"/>
  <c r="O329" i="2" s="1"/>
  <c r="J329" i="2" s="1"/>
  <c r="P327" i="2"/>
  <c r="O327" i="2" s="1"/>
  <c r="J327" i="2" s="1"/>
  <c r="P326" i="2"/>
  <c r="O326" i="2" s="1"/>
  <c r="J326" i="2" s="1"/>
  <c r="P328" i="2"/>
  <c r="O328" i="2" s="1"/>
  <c r="J328" i="2" s="1"/>
  <c r="P64" i="2"/>
  <c r="O64" i="2" s="1"/>
  <c r="J64" i="2" s="1"/>
  <c r="P128" i="2"/>
  <c r="O128" i="2" s="1"/>
  <c r="J128" i="2" s="1"/>
  <c r="P260" i="2"/>
  <c r="O260" i="2" s="1"/>
  <c r="J260" i="2" s="1"/>
  <c r="P66" i="2"/>
  <c r="O66" i="2" s="1"/>
  <c r="J66" i="2" s="1"/>
  <c r="P194" i="2"/>
  <c r="O194" i="2" s="1"/>
  <c r="J194" i="2" s="1"/>
  <c r="P263" i="2"/>
  <c r="O263" i="2" s="1"/>
  <c r="J263" i="2" s="1"/>
  <c r="P198" i="2"/>
  <c r="O198" i="2" s="1"/>
  <c r="J198" i="2" s="1"/>
  <c r="P131" i="2"/>
  <c r="O131" i="2" s="1"/>
  <c r="J131" i="2" s="1"/>
  <c r="P130" i="2"/>
  <c r="O130" i="2" s="1"/>
  <c r="J130" i="2" s="1"/>
  <c r="P264" i="2"/>
  <c r="O264" i="2" s="1"/>
  <c r="J264" i="2" s="1"/>
  <c r="P261" i="2"/>
  <c r="O261" i="2" s="1"/>
  <c r="J261" i="2" s="1"/>
  <c r="P195" i="2"/>
  <c r="O195" i="2" s="1"/>
  <c r="J195" i="2" s="1"/>
  <c r="P262" i="2"/>
  <c r="O262" i="2" s="1"/>
  <c r="J262" i="2" s="1"/>
  <c r="P132" i="2"/>
  <c r="O132" i="2" s="1"/>
  <c r="J132" i="2" s="1"/>
  <c r="P63" i="2"/>
  <c r="O63" i="2" s="1"/>
  <c r="J63" i="2" s="1"/>
  <c r="P65" i="2"/>
  <c r="O65" i="2" s="1"/>
  <c r="J65" i="2" s="1"/>
  <c r="P196" i="2"/>
  <c r="O196" i="2" s="1"/>
  <c r="J196" i="2" s="1"/>
  <c r="P197" i="2"/>
  <c r="O197" i="2" s="1"/>
  <c r="J197" i="2" s="1"/>
  <c r="P62" i="2"/>
  <c r="O62" i="2" s="1"/>
  <c r="J62" i="2" s="1"/>
  <c r="P129" i="2"/>
  <c r="O129" i="2" s="1"/>
  <c r="J129" i="2" s="1"/>
  <c r="H31" i="1"/>
  <c r="L31" i="1"/>
  <c r="M31" i="1"/>
  <c r="H19" i="1"/>
  <c r="O19" i="1"/>
  <c r="M19" i="1"/>
  <c r="O39" i="1"/>
  <c r="M39" i="1"/>
  <c r="L80" i="1"/>
  <c r="O80" i="1"/>
  <c r="M8" i="1"/>
  <c r="B20" i="11"/>
  <c r="D20" i="11" s="1"/>
  <c r="L8" i="1"/>
  <c r="O8" i="1"/>
  <c r="H8" i="1"/>
  <c r="F8" i="1"/>
  <c r="B13" i="11"/>
  <c r="D12" i="11"/>
  <c r="B21" i="11" l="1"/>
  <c r="D21" i="11" s="1"/>
  <c r="F19" i="1"/>
  <c r="F39" i="1"/>
  <c r="H39" i="1"/>
  <c r="F80" i="1"/>
  <c r="H80" i="1"/>
  <c r="M80" i="1"/>
  <c r="L39" i="1"/>
  <c r="L19" i="1"/>
  <c r="B22" i="11" l="1"/>
  <c r="D22" i="11" s="1"/>
  <c r="B23" i="11" l="1"/>
  <c r="D23" i="11" s="1"/>
  <c r="B24" i="11" l="1"/>
  <c r="D24" i="11" s="1"/>
  <c r="B25" i="11" l="1"/>
  <c r="D25" i="11" s="1"/>
  <c r="B26" i="11" l="1"/>
  <c r="D26" i="11" s="1"/>
  <c r="B27" i="11" l="1"/>
  <c r="D27" i="11" s="1"/>
  <c r="K91" i="1"/>
  <c r="J88" i="1"/>
  <c r="J91" i="1"/>
  <c r="I88" i="1"/>
  <c r="I91" i="1"/>
  <c r="K63" i="1"/>
  <c r="K66" i="1"/>
  <c r="J63" i="1"/>
  <c r="J66" i="1"/>
  <c r="I66" i="1"/>
  <c r="I63" i="1"/>
  <c r="K23" i="1"/>
  <c r="J23" i="1"/>
  <c r="K88" i="1"/>
  <c r="I23" i="1"/>
  <c r="B28" i="11" l="1"/>
  <c r="D28" i="11" s="1"/>
  <c r="L23" i="1"/>
  <c r="L66" i="1"/>
  <c r="L91" i="1"/>
  <c r="L88" i="1"/>
  <c r="L63" i="1"/>
  <c r="I54" i="1"/>
  <c r="K85" i="1"/>
  <c r="I85" i="1"/>
  <c r="K54" i="1"/>
  <c r="I71" i="1"/>
  <c r="I47" i="1"/>
  <c r="I98" i="1"/>
  <c r="J54" i="1"/>
  <c r="I40" i="1"/>
  <c r="E66" i="1"/>
  <c r="I12" i="1"/>
  <c r="D23" i="1"/>
  <c r="M23" i="1" s="1"/>
  <c r="D98" i="1"/>
  <c r="E23" i="1"/>
  <c r="K12" i="1"/>
  <c r="G23" i="1"/>
  <c r="D88" i="1"/>
  <c r="M88" i="1" s="1"/>
  <c r="G102" i="1"/>
  <c r="I102" i="1"/>
  <c r="J98" i="1"/>
  <c r="D32" i="1"/>
  <c r="D60" i="1"/>
  <c r="J85" i="1"/>
  <c r="K40" i="1"/>
  <c r="J20" i="1"/>
  <c r="K71" i="1"/>
  <c r="E32" i="1"/>
  <c r="J12" i="1"/>
  <c r="E47" i="1"/>
  <c r="G32" i="1"/>
  <c r="G98" i="1"/>
  <c r="N66" i="1"/>
  <c r="D66" i="1"/>
  <c r="M66" i="1" s="1"/>
  <c r="N98" i="1"/>
  <c r="J40" i="1"/>
  <c r="N88" i="1"/>
  <c r="E60" i="1"/>
  <c r="D81" i="1"/>
  <c r="K81" i="1"/>
  <c r="G66" i="1"/>
  <c r="E102" i="1"/>
  <c r="D85" i="1"/>
  <c r="E71" i="1"/>
  <c r="D63" i="1"/>
  <c r="M63" i="1" s="1"/>
  <c r="K32" i="1"/>
  <c r="D91" i="1"/>
  <c r="M91" i="1" s="1"/>
  <c r="K47" i="1"/>
  <c r="K20" i="1"/>
  <c r="N47" i="1"/>
  <c r="G54" i="1"/>
  <c r="E20" i="1"/>
  <c r="N71" i="1"/>
  <c r="J102" i="1"/>
  <c r="N63" i="1"/>
  <c r="G85" i="1"/>
  <c r="G71" i="1"/>
  <c r="J32" i="1"/>
  <c r="E63" i="1"/>
  <c r="G63" i="1"/>
  <c r="D54" i="1"/>
  <c r="N20" i="1"/>
  <c r="D47" i="1"/>
  <c r="N81" i="1"/>
  <c r="D20" i="1"/>
  <c r="G47" i="1"/>
  <c r="J60" i="1"/>
  <c r="G81" i="1"/>
  <c r="G88" i="1"/>
  <c r="D71" i="1"/>
  <c r="E85" i="1"/>
  <c r="N102" i="1"/>
  <c r="J71" i="1"/>
  <c r="E12" i="1"/>
  <c r="N40" i="1"/>
  <c r="N54" i="1"/>
  <c r="N85" i="1"/>
  <c r="D40" i="1"/>
  <c r="I60" i="1"/>
  <c r="D102" i="1"/>
  <c r="E81" i="1"/>
  <c r="E88" i="1"/>
  <c r="K102" i="1"/>
  <c r="J81" i="1"/>
  <c r="N12" i="1"/>
  <c r="I32" i="1"/>
  <c r="G20" i="1"/>
  <c r="N23" i="1"/>
  <c r="E91" i="1"/>
  <c r="G60" i="1"/>
  <c r="E40" i="1"/>
  <c r="E54" i="1"/>
  <c r="G91" i="1"/>
  <c r="I20" i="1"/>
  <c r="J47" i="1"/>
  <c r="N32" i="1"/>
  <c r="G12" i="1"/>
  <c r="N91" i="1"/>
  <c r="E98" i="1"/>
  <c r="G40" i="1"/>
  <c r="N60" i="1"/>
  <c r="K60" i="1"/>
  <c r="I81" i="1"/>
  <c r="K98" i="1"/>
  <c r="D12" i="1"/>
  <c r="G103" i="1" l="1"/>
  <c r="E103" i="1"/>
  <c r="B29" i="11"/>
  <c r="D29" i="11" s="1"/>
  <c r="N103" i="1"/>
  <c r="D103" i="1"/>
  <c r="O63" i="1"/>
  <c r="H12" i="1"/>
  <c r="H20" i="1"/>
  <c r="H23" i="1"/>
  <c r="O32" i="1"/>
  <c r="O71" i="1"/>
  <c r="H88" i="1"/>
  <c r="H81" i="1"/>
  <c r="O81" i="1"/>
  <c r="F23" i="1"/>
  <c r="O20" i="1"/>
  <c r="F20" i="1"/>
  <c r="H98" i="1"/>
  <c r="F81" i="1"/>
  <c r="H32" i="1"/>
  <c r="H63" i="1"/>
  <c r="F91" i="1"/>
  <c r="F63" i="1"/>
  <c r="H91" i="1"/>
  <c r="O91" i="1"/>
  <c r="O23" i="1"/>
  <c r="O85" i="1"/>
  <c r="F98" i="1"/>
  <c r="H60" i="1"/>
  <c r="O98" i="1"/>
  <c r="H54" i="1"/>
  <c r="O66" i="1"/>
  <c r="M60" i="1"/>
  <c r="L60" i="1"/>
  <c r="F102" i="1"/>
  <c r="M32" i="1"/>
  <c r="L32" i="1"/>
  <c r="L98" i="1"/>
  <c r="M98" i="1"/>
  <c r="M47" i="1"/>
  <c r="L47" i="1"/>
  <c r="O102" i="1"/>
  <c r="L54" i="1"/>
  <c r="M54" i="1"/>
  <c r="O47" i="1"/>
  <c r="L81" i="1"/>
  <c r="M81" i="1"/>
  <c r="H66" i="1"/>
  <c r="O12" i="1"/>
  <c r="M71" i="1"/>
  <c r="L71" i="1"/>
  <c r="H71" i="1"/>
  <c r="L20" i="1"/>
  <c r="M20" i="1"/>
  <c r="O54" i="1"/>
  <c r="O40" i="1"/>
  <c r="L12" i="1"/>
  <c r="M12" i="1"/>
  <c r="O60" i="1"/>
  <c r="H47" i="1"/>
  <c r="H85" i="1"/>
  <c r="O88" i="1"/>
  <c r="M102" i="1"/>
  <c r="L102" i="1"/>
  <c r="L40" i="1"/>
  <c r="M40" i="1"/>
  <c r="L85" i="1"/>
  <c r="M85" i="1"/>
  <c r="F85" i="1"/>
  <c r="H40" i="1"/>
  <c r="H102" i="1"/>
  <c r="F71" i="1"/>
  <c r="F60" i="1"/>
  <c r="F66" i="1"/>
  <c r="F12" i="1"/>
  <c r="F32" i="1"/>
  <c r="F47" i="1"/>
  <c r="F54" i="1"/>
  <c r="F40" i="1"/>
  <c r="F88" i="1"/>
  <c r="J103" i="1"/>
  <c r="K103" i="1"/>
  <c r="B30" i="11" l="1"/>
  <c r="D30" i="11" s="1"/>
  <c r="L103" i="1"/>
  <c r="F103" i="1"/>
  <c r="O103" i="1"/>
  <c r="H103" i="1"/>
  <c r="B31" i="11"/>
  <c r="D31" i="11" s="1"/>
  <c r="B32" i="11" l="1"/>
  <c r="D32" i="11" s="1"/>
  <c r="B33" i="11" l="1"/>
  <c r="D33" i="11" s="1"/>
  <c r="B34" i="11" l="1"/>
  <c r="D34" i="11" s="1"/>
  <c r="B35" i="11" l="1"/>
  <c r="D35" i="11" s="1"/>
  <c r="B36" i="11" l="1"/>
  <c r="D36" i="11" s="1"/>
  <c r="B37" i="11" l="1"/>
  <c r="D37" i="11" s="1"/>
  <c r="I103" i="1"/>
  <c r="M103" i="1" l="1"/>
  <c r="B38" i="11"/>
  <c r="D38" i="11" s="1"/>
  <c r="B39" i="11" l="1"/>
  <c r="D39" i="11" s="1"/>
  <c r="B40" i="11" l="1"/>
  <c r="D40" i="11" s="1"/>
  <c r="B41" i="11" l="1"/>
  <c r="D41" i="11" s="1"/>
  <c r="B42" i="11" l="1"/>
  <c r="D42" i="11" s="1"/>
  <c r="B43" i="11" l="1"/>
  <c r="D43" i="11" s="1"/>
  <c r="B44" i="11" l="1"/>
  <c r="D44" i="11" s="1"/>
  <c r="B45" i="11" l="1"/>
  <c r="D45" i="11" s="1"/>
  <c r="B46" i="11" l="1"/>
  <c r="D46" i="11" s="1"/>
  <c r="B47" i="11" l="1"/>
  <c r="D47" i="11" s="1"/>
  <c r="B48" i="11" l="1"/>
  <c r="D48" i="11" s="1"/>
  <c r="B49" i="11" l="1"/>
  <c r="D49" i="11" s="1"/>
  <c r="B50" i="11" l="1"/>
  <c r="D50" i="11" s="1"/>
  <c r="B51" i="11" l="1"/>
  <c r="D51" i="11" s="1"/>
  <c r="B52" i="11" l="1"/>
  <c r="D52" i="11" s="1"/>
  <c r="B53" i="11" l="1"/>
  <c r="D53" i="11" s="1"/>
  <c r="B54" i="11" l="1"/>
  <c r="D54" i="11" s="1"/>
  <c r="B55" i="11" l="1"/>
  <c r="D55" i="11" s="1"/>
  <c r="B56" i="11" l="1"/>
  <c r="D56" i="11" s="1"/>
  <c r="B57" i="11" l="1"/>
  <c r="D57" i="11" s="1"/>
  <c r="B58" i="11" l="1"/>
  <c r="D58" i="11" s="1"/>
  <c r="B59" i="11" l="1"/>
  <c r="D59" i="11" s="1"/>
  <c r="B60" i="11" l="1"/>
  <c r="D60" i="11" s="1"/>
  <c r="B61" i="11" l="1"/>
  <c r="D61" i="11" s="1"/>
  <c r="B62" i="11" l="1"/>
  <c r="D62" i="11" s="1"/>
  <c r="B63" i="11" l="1"/>
  <c r="D63" i="11" s="1"/>
  <c r="B64" i="11" l="1"/>
  <c r="D64" i="11" s="1"/>
  <c r="B65" i="11" l="1"/>
  <c r="D65" i="11" s="1"/>
  <c r="B66" i="11" l="1"/>
  <c r="D66" i="11" s="1"/>
  <c r="B67" i="11" l="1"/>
  <c r="D67" i="11" l="1"/>
  <c r="B68" i="11"/>
  <c r="D68" i="11" l="1"/>
  <c r="B69" i="11"/>
  <c r="AJ391" i="2"/>
  <c r="AK391" i="2"/>
  <c r="W391" i="2"/>
  <c r="AH391" i="2"/>
  <c r="AG391" i="2"/>
  <c r="AF391" i="2"/>
  <c r="AD391" i="2"/>
  <c r="AE391" i="2" s="1"/>
  <c r="AC391" i="2"/>
  <c r="AB391" i="2"/>
  <c r="AA391" i="2"/>
  <c r="AL391" i="2"/>
  <c r="Z391" i="2"/>
  <c r="X391" i="2"/>
  <c r="T341" i="2"/>
  <c r="H341" i="2"/>
  <c r="N341" i="2"/>
  <c r="M341" i="2"/>
  <c r="T353" i="2"/>
  <c r="H353" i="2"/>
  <c r="N353" i="2"/>
  <c r="M353" i="2"/>
  <c r="T365" i="2"/>
  <c r="H365" i="2"/>
  <c r="N365" i="2"/>
  <c r="M365" i="2"/>
  <c r="L365" i="2" s="1"/>
  <c r="T377" i="2"/>
  <c r="H377" i="2"/>
  <c r="N377" i="2"/>
  <c r="M377" i="2"/>
  <c r="L377" i="2" s="1"/>
  <c r="T389" i="2"/>
  <c r="H389" i="2"/>
  <c r="N389" i="2"/>
  <c r="M389" i="2"/>
  <c r="L389" i="2" s="1"/>
  <c r="T342" i="2"/>
  <c r="H342" i="2"/>
  <c r="N342" i="2"/>
  <c r="M342" i="2"/>
  <c r="L342" i="2" s="1"/>
  <c r="T354" i="2"/>
  <c r="H354" i="2"/>
  <c r="N354" i="2"/>
  <c r="M354" i="2"/>
  <c r="T366" i="2"/>
  <c r="H366" i="2"/>
  <c r="N366" i="2"/>
  <c r="M366" i="2"/>
  <c r="T378" i="2"/>
  <c r="H378" i="2"/>
  <c r="N378" i="2"/>
  <c r="M378" i="2"/>
  <c r="T343" i="2"/>
  <c r="H343" i="2"/>
  <c r="N343" i="2"/>
  <c r="M343" i="2"/>
  <c r="L343" i="2" s="1"/>
  <c r="T355" i="2"/>
  <c r="H355" i="2"/>
  <c r="N355" i="2"/>
  <c r="M355" i="2"/>
  <c r="L355" i="2" s="1"/>
  <c r="T367" i="2"/>
  <c r="H367" i="2"/>
  <c r="N367" i="2"/>
  <c r="M367" i="2"/>
  <c r="T379" i="2"/>
  <c r="H379" i="2"/>
  <c r="N379" i="2"/>
  <c r="M379" i="2"/>
  <c r="N352" i="2"/>
  <c r="M352" i="2"/>
  <c r="L352" i="2" s="1"/>
  <c r="H352" i="2"/>
  <c r="T352" i="2"/>
  <c r="N388" i="2"/>
  <c r="M388" i="2"/>
  <c r="T388" i="2"/>
  <c r="H388" i="2"/>
  <c r="T344" i="2"/>
  <c r="H344" i="2"/>
  <c r="N344" i="2"/>
  <c r="M344" i="2"/>
  <c r="T356" i="2"/>
  <c r="H356" i="2"/>
  <c r="N356" i="2"/>
  <c r="M356" i="2"/>
  <c r="L356" i="2" s="1"/>
  <c r="T368" i="2"/>
  <c r="H368" i="2"/>
  <c r="N368" i="2"/>
  <c r="M368" i="2"/>
  <c r="L368" i="2" s="1"/>
  <c r="T380" i="2"/>
  <c r="H380" i="2"/>
  <c r="N380" i="2"/>
  <c r="M380" i="2"/>
  <c r="N340" i="2"/>
  <c r="M340" i="2"/>
  <c r="L340" i="2" s="1"/>
  <c r="T340" i="2"/>
  <c r="H340" i="2"/>
  <c r="T345" i="2"/>
  <c r="H345" i="2"/>
  <c r="N345" i="2"/>
  <c r="M345" i="2"/>
  <c r="L345" i="2" s="1"/>
  <c r="T357" i="2"/>
  <c r="H357" i="2"/>
  <c r="N357" i="2"/>
  <c r="M357" i="2"/>
  <c r="T369" i="2"/>
  <c r="H369" i="2"/>
  <c r="N369" i="2"/>
  <c r="M369" i="2"/>
  <c r="T381" i="2"/>
  <c r="H381" i="2"/>
  <c r="N381" i="2"/>
  <c r="M381" i="2"/>
  <c r="N364" i="2"/>
  <c r="T364" i="2"/>
  <c r="M364" i="2"/>
  <c r="H364" i="2"/>
  <c r="T334" i="2"/>
  <c r="H334" i="2"/>
  <c r="N334" i="2"/>
  <c r="M334" i="2"/>
  <c r="T346" i="2"/>
  <c r="H346" i="2"/>
  <c r="N346" i="2"/>
  <c r="M346" i="2"/>
  <c r="T358" i="2"/>
  <c r="H358" i="2"/>
  <c r="N358" i="2"/>
  <c r="M358" i="2"/>
  <c r="L358" i="2" s="1"/>
  <c r="T370" i="2"/>
  <c r="H370" i="2"/>
  <c r="N370" i="2"/>
  <c r="M370" i="2"/>
  <c r="T382" i="2"/>
  <c r="H382" i="2"/>
  <c r="N382" i="2"/>
  <c r="M382" i="2"/>
  <c r="M349" i="2"/>
  <c r="T349" i="2"/>
  <c r="H349" i="2"/>
  <c r="N349" i="2"/>
  <c r="T361" i="2"/>
  <c r="H361" i="2"/>
  <c r="M361" i="2"/>
  <c r="N361" i="2"/>
  <c r="M373" i="2"/>
  <c r="L373" i="2" s="1"/>
  <c r="T373" i="2"/>
  <c r="H373" i="2"/>
  <c r="N373" i="2"/>
  <c r="M385" i="2"/>
  <c r="T385" i="2"/>
  <c r="H385" i="2"/>
  <c r="N385" i="2"/>
  <c r="T335" i="2"/>
  <c r="H335" i="2"/>
  <c r="N335" i="2"/>
  <c r="M335" i="2"/>
  <c r="T347" i="2"/>
  <c r="H347" i="2"/>
  <c r="N347" i="2"/>
  <c r="M347" i="2"/>
  <c r="T359" i="2"/>
  <c r="H359" i="2"/>
  <c r="N359" i="2"/>
  <c r="M359" i="2"/>
  <c r="L359" i="2" s="1"/>
  <c r="T371" i="2"/>
  <c r="H371" i="2"/>
  <c r="N371" i="2"/>
  <c r="M371" i="2"/>
  <c r="T383" i="2"/>
  <c r="H383" i="2"/>
  <c r="N383" i="2"/>
  <c r="M383" i="2"/>
  <c r="T337" i="2"/>
  <c r="H337" i="2"/>
  <c r="N337" i="2"/>
  <c r="M337" i="2"/>
  <c r="N376" i="2"/>
  <c r="M376" i="2"/>
  <c r="L376" i="2" s="1"/>
  <c r="T376" i="2"/>
  <c r="H376" i="2"/>
  <c r="M338" i="2"/>
  <c r="T338" i="2"/>
  <c r="H338" i="2"/>
  <c r="N338" i="2"/>
  <c r="M350" i="2"/>
  <c r="T350" i="2"/>
  <c r="H350" i="2"/>
  <c r="N350" i="2"/>
  <c r="M362" i="2"/>
  <c r="T362" i="2"/>
  <c r="H362" i="2"/>
  <c r="N362" i="2"/>
  <c r="M374" i="2"/>
  <c r="T374" i="2"/>
  <c r="H374" i="2"/>
  <c r="N374" i="2"/>
  <c r="M386" i="2"/>
  <c r="T386" i="2"/>
  <c r="H386" i="2"/>
  <c r="N386" i="2"/>
  <c r="L386" i="2" s="1"/>
  <c r="N390" i="2"/>
  <c r="T390" i="2"/>
  <c r="H390" i="2"/>
  <c r="M390" i="2"/>
  <c r="L390" i="2" s="1"/>
  <c r="T336" i="2"/>
  <c r="H336" i="2"/>
  <c r="N336" i="2"/>
  <c r="M336" i="2"/>
  <c r="L336" i="2" s="1"/>
  <c r="T348" i="2"/>
  <c r="H348" i="2"/>
  <c r="N348" i="2"/>
  <c r="M348" i="2"/>
  <c r="L348" i="2" s="1"/>
  <c r="T360" i="2"/>
  <c r="H360" i="2"/>
  <c r="N360" i="2"/>
  <c r="M360" i="2"/>
  <c r="L360" i="2" s="1"/>
  <c r="T372" i="2"/>
  <c r="H372" i="2"/>
  <c r="N372" i="2"/>
  <c r="M372" i="2"/>
  <c r="L372" i="2" s="1"/>
  <c r="T384" i="2"/>
  <c r="H384" i="2"/>
  <c r="N384" i="2"/>
  <c r="M384" i="2"/>
  <c r="L384" i="2" s="1"/>
  <c r="M339" i="2"/>
  <c r="N339" i="2"/>
  <c r="T339" i="2"/>
  <c r="H339" i="2"/>
  <c r="M351" i="2"/>
  <c r="N351" i="2"/>
  <c r="T351" i="2"/>
  <c r="H351" i="2"/>
  <c r="M363" i="2"/>
  <c r="N363" i="2"/>
  <c r="T363" i="2"/>
  <c r="H363" i="2"/>
  <c r="M375" i="2"/>
  <c r="L375" i="2" s="1"/>
  <c r="N375" i="2"/>
  <c r="T375" i="2"/>
  <c r="H375" i="2"/>
  <c r="M387" i="2"/>
  <c r="N387" i="2"/>
  <c r="T387" i="2"/>
  <c r="H387" i="2"/>
  <c r="L361" i="2" l="1"/>
  <c r="L339" i="2"/>
  <c r="L362" i="2"/>
  <c r="L364" i="2"/>
  <c r="G387" i="2"/>
  <c r="L350" i="2"/>
  <c r="AM391" i="2"/>
  <c r="D69" i="11"/>
  <c r="B70" i="11"/>
  <c r="L338" i="2"/>
  <c r="L351" i="2"/>
  <c r="F336" i="2"/>
  <c r="L369" i="2"/>
  <c r="L366" i="2"/>
  <c r="G337" i="2"/>
  <c r="L385" i="2"/>
  <c r="L388" i="2"/>
  <c r="R348" i="2"/>
  <c r="L380" i="2"/>
  <c r="L347" i="2"/>
  <c r="L334" i="2"/>
  <c r="K359" i="2" s="1"/>
  <c r="I359" i="2" s="1"/>
  <c r="J359" i="2" s="1"/>
  <c r="L344" i="2"/>
  <c r="L363" i="2"/>
  <c r="L374" i="2"/>
  <c r="K374" i="2" s="1"/>
  <c r="I374" i="2" s="1"/>
  <c r="J374" i="2" s="1"/>
  <c r="F335" i="2"/>
  <c r="G375" i="2"/>
  <c r="L383" i="2"/>
  <c r="S387" i="2"/>
  <c r="G339" i="2"/>
  <c r="L357" i="2"/>
  <c r="L353" i="2"/>
  <c r="G376" i="2"/>
  <c r="R383" i="2"/>
  <c r="R362" i="2"/>
  <c r="L371" i="2"/>
  <c r="L382" i="2"/>
  <c r="L379" i="2"/>
  <c r="L354" i="2"/>
  <c r="F387" i="2"/>
  <c r="E387" i="2" s="1"/>
  <c r="L387" i="2"/>
  <c r="F351" i="2"/>
  <c r="F382" i="2"/>
  <c r="L341" i="2"/>
  <c r="R384" i="2"/>
  <c r="L335" i="2"/>
  <c r="F369" i="2"/>
  <c r="F350" i="2"/>
  <c r="F375" i="2"/>
  <c r="E375" i="2" s="1"/>
  <c r="L337" i="2"/>
  <c r="S369" i="2"/>
  <c r="L370" i="2"/>
  <c r="L367" i="2"/>
  <c r="L378" i="2"/>
  <c r="G363" i="2"/>
  <c r="F348" i="2"/>
  <c r="G390" i="2"/>
  <c r="G374" i="2"/>
  <c r="R359" i="2"/>
  <c r="G347" i="2"/>
  <c r="F373" i="2"/>
  <c r="G349" i="2"/>
  <c r="R334" i="2"/>
  <c r="S365" i="2"/>
  <c r="R375" i="2"/>
  <c r="R372" i="2"/>
  <c r="G336" i="2"/>
  <c r="E336" i="2" s="1"/>
  <c r="S374" i="2"/>
  <c r="S362" i="2"/>
  <c r="S376" i="2"/>
  <c r="S359" i="2"/>
  <c r="S361" i="2"/>
  <c r="S349" i="2"/>
  <c r="S334" i="2"/>
  <c r="S356" i="2"/>
  <c r="S384" i="2"/>
  <c r="G384" i="2"/>
  <c r="S363" i="2"/>
  <c r="G372" i="2"/>
  <c r="S336" i="2"/>
  <c r="F390" i="2"/>
  <c r="R350" i="2"/>
  <c r="S337" i="2"/>
  <c r="G383" i="2"/>
  <c r="F359" i="2"/>
  <c r="S347" i="2"/>
  <c r="G335" i="2"/>
  <c r="E335" i="2" s="1"/>
  <c r="G378" i="2"/>
  <c r="F355" i="2"/>
  <c r="G379" i="2"/>
  <c r="F388" i="2"/>
  <c r="F356" i="2"/>
  <c r="G380" i="2"/>
  <c r="G355" i="2"/>
  <c r="F361" i="2"/>
  <c r="L381" i="2"/>
  <c r="G366" i="2"/>
  <c r="R337" i="2"/>
  <c r="R347" i="2"/>
  <c r="S352" i="2"/>
  <c r="R368" i="2"/>
  <c r="R357" i="2"/>
  <c r="S364" i="2"/>
  <c r="R358" i="2"/>
  <c r="R354" i="2"/>
  <c r="S355" i="2"/>
  <c r="S379" i="2"/>
  <c r="R388" i="2"/>
  <c r="R356" i="2"/>
  <c r="R380" i="2"/>
  <c r="R369" i="2"/>
  <c r="Q369" i="2" s="1"/>
  <c r="S366" i="2"/>
  <c r="R379" i="2"/>
  <c r="S388" i="2"/>
  <c r="S380" i="2"/>
  <c r="S346" i="2"/>
  <c r="R370" i="2"/>
  <c r="R346" i="2"/>
  <c r="S370" i="2"/>
  <c r="F349" i="2"/>
  <c r="G381" i="2"/>
  <c r="F381" i="2"/>
  <c r="G369" i="2"/>
  <c r="S345" i="2"/>
  <c r="R355" i="2"/>
  <c r="R366" i="2"/>
  <c r="F353" i="2"/>
  <c r="S372" i="2"/>
  <c r="Q372" i="2" s="1"/>
  <c r="R390" i="2"/>
  <c r="F362" i="2"/>
  <c r="G338" i="2"/>
  <c r="F337" i="2"/>
  <c r="E337" i="2" s="1"/>
  <c r="F347" i="2"/>
  <c r="R361" i="2"/>
  <c r="R349" i="2"/>
  <c r="R382" i="2"/>
  <c r="G364" i="2"/>
  <c r="F364" i="2"/>
  <c r="G345" i="2"/>
  <c r="R389" i="2"/>
  <c r="S353" i="2"/>
  <c r="R360" i="2"/>
  <c r="G386" i="2"/>
  <c r="R387" i="2"/>
  <c r="Q387" i="2" s="1"/>
  <c r="R363" i="2"/>
  <c r="S351" i="2"/>
  <c r="S339" i="2"/>
  <c r="F372" i="2"/>
  <c r="F360" i="2"/>
  <c r="S350" i="2"/>
  <c r="S383" i="2"/>
  <c r="R335" i="2"/>
  <c r="G382" i="2"/>
  <c r="E382" i="2" s="1"/>
  <c r="F370" i="2"/>
  <c r="G370" i="2"/>
  <c r="F358" i="2"/>
  <c r="F344" i="2"/>
  <c r="G351" i="2"/>
  <c r="G350" i="2"/>
  <c r="S335" i="2"/>
  <c r="S385" i="2"/>
  <c r="S358" i="2"/>
  <c r="F345" i="2"/>
  <c r="G343" i="2"/>
  <c r="G360" i="2"/>
  <c r="G348" i="2"/>
  <c r="E348" i="2" s="1"/>
  <c r="S390" i="2"/>
  <c r="F374" i="2"/>
  <c r="R376" i="2"/>
  <c r="G373" i="2"/>
  <c r="E373" i="2" s="1"/>
  <c r="G358" i="2"/>
  <c r="F357" i="2"/>
  <c r="G357" i="2"/>
  <c r="R345" i="2"/>
  <c r="G388" i="2"/>
  <c r="F363" i="2"/>
  <c r="S375" i="2"/>
  <c r="R351" i="2"/>
  <c r="R339" i="2"/>
  <c r="S360" i="2"/>
  <c r="R386" i="2"/>
  <c r="S338" i="2"/>
  <c r="F383" i="2"/>
  <c r="G371" i="2"/>
  <c r="R385" i="2"/>
  <c r="S382" i="2"/>
  <c r="F366" i="2"/>
  <c r="R377" i="2"/>
  <c r="F339" i="2"/>
  <c r="E339" i="2" s="1"/>
  <c r="F386" i="2"/>
  <c r="R338" i="2"/>
  <c r="F371" i="2"/>
  <c r="G359" i="2"/>
  <c r="G385" i="2"/>
  <c r="R342" i="2"/>
  <c r="S368" i="2"/>
  <c r="R336" i="2"/>
  <c r="S386" i="2"/>
  <c r="R374" i="2"/>
  <c r="G362" i="2"/>
  <c r="F338" i="2"/>
  <c r="F376" i="2"/>
  <c r="E376" i="2" s="1"/>
  <c r="S371" i="2"/>
  <c r="F385" i="2"/>
  <c r="S373" i="2"/>
  <c r="F334" i="2"/>
  <c r="S340" i="2"/>
  <c r="G367" i="2"/>
  <c r="G342" i="2"/>
  <c r="F384" i="2"/>
  <c r="S348" i="2"/>
  <c r="Q348" i="2" s="1"/>
  <c r="R371" i="2"/>
  <c r="R373" i="2"/>
  <c r="G361" i="2"/>
  <c r="L349" i="2"/>
  <c r="L346" i="2"/>
  <c r="G334" i="2"/>
  <c r="E334" i="2" s="1"/>
  <c r="R352" i="2"/>
  <c r="R378" i="2"/>
  <c r="S342" i="2"/>
  <c r="Q342" i="2" s="1"/>
  <c r="P342" i="2" s="1"/>
  <c r="O342" i="2" s="1"/>
  <c r="G346" i="2"/>
  <c r="R340" i="2"/>
  <c r="F368" i="2"/>
  <c r="G344" i="2"/>
  <c r="E344" i="2" s="1"/>
  <c r="G352" i="2"/>
  <c r="S343" i="2"/>
  <c r="S378" i="2"/>
  <c r="S354" i="2"/>
  <c r="S389" i="2"/>
  <c r="G365" i="2"/>
  <c r="G341" i="2"/>
  <c r="R364" i="2"/>
  <c r="S381" i="2"/>
  <c r="F340" i="2"/>
  <c r="S344" i="2"/>
  <c r="S367" i="2"/>
  <c r="F343" i="2"/>
  <c r="F389" i="2"/>
  <c r="R365" i="2"/>
  <c r="S341" i="2"/>
  <c r="F346" i="2"/>
  <c r="G340" i="2"/>
  <c r="F367" i="2"/>
  <c r="R343" i="2"/>
  <c r="AI391" i="2"/>
  <c r="R381" i="2"/>
  <c r="F380" i="2"/>
  <c r="G356" i="2"/>
  <c r="E356" i="2" s="1"/>
  <c r="F342" i="2"/>
  <c r="S377" i="2"/>
  <c r="G353" i="2"/>
  <c r="E353" i="2" s="1"/>
  <c r="G377" i="2"/>
  <c r="R353" i="2"/>
  <c r="F377" i="2"/>
  <c r="Y391" i="2"/>
  <c r="R344" i="2"/>
  <c r="F352" i="2"/>
  <c r="F379" i="2"/>
  <c r="F378" i="2"/>
  <c r="F354" i="2"/>
  <c r="S357" i="2"/>
  <c r="Q357" i="2" s="1"/>
  <c r="G368" i="2"/>
  <c r="G389" i="2"/>
  <c r="F365" i="2"/>
  <c r="R341" i="2"/>
  <c r="R367" i="2"/>
  <c r="G354" i="2"/>
  <c r="F341" i="2"/>
  <c r="E361" i="2" l="1"/>
  <c r="K342" i="2"/>
  <c r="I342" i="2" s="1"/>
  <c r="J342" i="2" s="1"/>
  <c r="D70" i="11"/>
  <c r="B71" i="11"/>
  <c r="Q377" i="2"/>
  <c r="Q386" i="2"/>
  <c r="E364" i="2"/>
  <c r="Q389" i="2"/>
  <c r="Q368" i="2"/>
  <c r="E388" i="2"/>
  <c r="Q380" i="2"/>
  <c r="E355" i="2"/>
  <c r="K378" i="2"/>
  <c r="I378" i="2" s="1"/>
  <c r="J378" i="2" s="1"/>
  <c r="Q358" i="2"/>
  <c r="Q383" i="2"/>
  <c r="P383" i="2" s="1"/>
  <c r="O383" i="2" s="1"/>
  <c r="Q359" i="2"/>
  <c r="E359" i="2"/>
  <c r="Q362" i="2"/>
  <c r="Q340" i="2"/>
  <c r="Q375" i="2"/>
  <c r="K339" i="2"/>
  <c r="I339" i="2" s="1"/>
  <c r="J339" i="2" s="1"/>
  <c r="Q355" i="2"/>
  <c r="Q384" i="2"/>
  <c r="P384" i="2" s="1"/>
  <c r="O384" i="2" s="1"/>
  <c r="K340" i="2"/>
  <c r="I340" i="2" s="1"/>
  <c r="J340" i="2" s="1"/>
  <c r="K388" i="2"/>
  <c r="I388" i="2" s="1"/>
  <c r="J388" i="2" s="1"/>
  <c r="Q346" i="2"/>
  <c r="Q382" i="2"/>
  <c r="E377" i="2"/>
  <c r="Q354" i="2"/>
  <c r="K346" i="2"/>
  <c r="I346" i="2" s="1"/>
  <c r="J346" i="2" s="1"/>
  <c r="K369" i="2"/>
  <c r="I369" i="2" s="1"/>
  <c r="J369" i="2" s="1"/>
  <c r="K367" i="2"/>
  <c r="I367" i="2" s="1"/>
  <c r="J367" i="2" s="1"/>
  <c r="Q350" i="2"/>
  <c r="E389" i="2"/>
  <c r="E371" i="2"/>
  <c r="E350" i="2"/>
  <c r="E369" i="2"/>
  <c r="Q367" i="2"/>
  <c r="P367" i="2" s="1"/>
  <c r="O367" i="2" s="1"/>
  <c r="E351" i="2"/>
  <c r="Q360" i="2"/>
  <c r="Q390" i="2"/>
  <c r="P390" i="2" s="1"/>
  <c r="O390" i="2" s="1"/>
  <c r="E362" i="2"/>
  <c r="Q370" i="2"/>
  <c r="P369" i="2" s="1"/>
  <c r="O369" i="2" s="1"/>
  <c r="E365" i="2"/>
  <c r="E346" i="2"/>
  <c r="E367" i="2"/>
  <c r="E385" i="2"/>
  <c r="E381" i="2"/>
  <c r="K385" i="2"/>
  <c r="I385" i="2" s="1"/>
  <c r="J385" i="2" s="1"/>
  <c r="K387" i="2"/>
  <c r="I387" i="2" s="1"/>
  <c r="J387" i="2" s="1"/>
  <c r="K347" i="2"/>
  <c r="I347" i="2" s="1"/>
  <c r="J347" i="2" s="1"/>
  <c r="E357" i="2"/>
  <c r="E386" i="2"/>
  <c r="E383" i="2"/>
  <c r="Q363" i="2"/>
  <c r="E347" i="2"/>
  <c r="K382" i="2"/>
  <c r="I382" i="2" s="1"/>
  <c r="J382" i="2" s="1"/>
  <c r="K368" i="2"/>
  <c r="I368" i="2" s="1"/>
  <c r="J368" i="2" s="1"/>
  <c r="K358" i="2"/>
  <c r="I358" i="2" s="1"/>
  <c r="J358" i="2" s="1"/>
  <c r="K361" i="2"/>
  <c r="I361" i="2" s="1"/>
  <c r="J361" i="2" s="1"/>
  <c r="E384" i="2"/>
  <c r="Q365" i="2"/>
  <c r="K371" i="2"/>
  <c r="I371" i="2" s="1"/>
  <c r="J371" i="2" s="1"/>
  <c r="K364" i="2"/>
  <c r="I364" i="2" s="1"/>
  <c r="J364" i="2" s="1"/>
  <c r="K351" i="2"/>
  <c r="I351" i="2" s="1"/>
  <c r="J351" i="2" s="1"/>
  <c r="Q353" i="2"/>
  <c r="Q379" i="2"/>
  <c r="K353" i="2"/>
  <c r="I353" i="2" s="1"/>
  <c r="J353" i="2" s="1"/>
  <c r="E380" i="2"/>
  <c r="Q337" i="2"/>
  <c r="K355" i="2"/>
  <c r="I355" i="2" s="1"/>
  <c r="J355" i="2" s="1"/>
  <c r="K370" i="2"/>
  <c r="I370" i="2" s="1"/>
  <c r="J370" i="2" s="1"/>
  <c r="K348" i="2"/>
  <c r="I348" i="2" s="1"/>
  <c r="J348" i="2" s="1"/>
  <c r="K390" i="2"/>
  <c r="I390" i="2" s="1"/>
  <c r="J390" i="2" s="1"/>
  <c r="K334" i="2"/>
  <c r="I334" i="2" s="1"/>
  <c r="K357" i="2"/>
  <c r="I357" i="2" s="1"/>
  <c r="J357" i="2" s="1"/>
  <c r="K377" i="2"/>
  <c r="I377" i="2" s="1"/>
  <c r="J377" i="2" s="1"/>
  <c r="E366" i="2"/>
  <c r="K376" i="2"/>
  <c r="I376" i="2" s="1"/>
  <c r="J376" i="2" s="1"/>
  <c r="K389" i="2"/>
  <c r="I389" i="2" s="1"/>
  <c r="J389" i="2" s="1"/>
  <c r="Q376" i="2"/>
  <c r="E374" i="2"/>
  <c r="K384" i="2"/>
  <c r="I384" i="2" s="1"/>
  <c r="J384" i="2" s="1"/>
  <c r="E368" i="2"/>
  <c r="E340" i="2"/>
  <c r="Q344" i="2"/>
  <c r="Q378" i="2"/>
  <c r="K365" i="2"/>
  <c r="I365" i="2" s="1"/>
  <c r="J365" i="2" s="1"/>
  <c r="Q338" i="2"/>
  <c r="E358" i="2"/>
  <c r="E360" i="2"/>
  <c r="K354" i="2"/>
  <c r="I354" i="2" s="1"/>
  <c r="J354" i="2" s="1"/>
  <c r="Q339" i="2"/>
  <c r="K343" i="2"/>
  <c r="I343" i="2" s="1"/>
  <c r="J343" i="2" s="1"/>
  <c r="K366" i="2"/>
  <c r="I366" i="2" s="1"/>
  <c r="J366" i="2" s="1"/>
  <c r="E390" i="2"/>
  <c r="K363" i="2"/>
  <c r="I363" i="2" s="1"/>
  <c r="J363" i="2" s="1"/>
  <c r="Q343" i="2"/>
  <c r="Q373" i="2"/>
  <c r="K379" i="2"/>
  <c r="I379" i="2" s="1"/>
  <c r="J379" i="2" s="1"/>
  <c r="K344" i="2"/>
  <c r="I344" i="2" s="1"/>
  <c r="J344" i="2" s="1"/>
  <c r="K352" i="2"/>
  <c r="I352" i="2" s="1"/>
  <c r="J352" i="2" s="1"/>
  <c r="K356" i="2"/>
  <c r="I356" i="2" s="1"/>
  <c r="J356" i="2" s="1"/>
  <c r="E379" i="2"/>
  <c r="Q356" i="2"/>
  <c r="K337" i="2"/>
  <c r="I337" i="2" s="1"/>
  <c r="J337" i="2" s="1"/>
  <c r="K360" i="2"/>
  <c r="I360" i="2" s="1"/>
  <c r="J360" i="2" s="1"/>
  <c r="Q341" i="2"/>
  <c r="E352" i="2"/>
  <c r="Q385" i="2"/>
  <c r="Q351" i="2"/>
  <c r="K380" i="2"/>
  <c r="I380" i="2" s="1"/>
  <c r="J380" i="2" s="1"/>
  <c r="Q334" i="2"/>
  <c r="Q374" i="2"/>
  <c r="E363" i="2"/>
  <c r="K372" i="2"/>
  <c r="I372" i="2" s="1"/>
  <c r="J372" i="2" s="1"/>
  <c r="K350" i="2"/>
  <c r="I350" i="2" s="1"/>
  <c r="J350" i="2" s="1"/>
  <c r="Q335" i="2"/>
  <c r="E345" i="2"/>
  <c r="Q345" i="2"/>
  <c r="Q388" i="2"/>
  <c r="Q364" i="2"/>
  <c r="P364" i="2" s="1"/>
  <c r="O364" i="2" s="1"/>
  <c r="K381" i="2"/>
  <c r="I381" i="2" s="1"/>
  <c r="J381" i="2" s="1"/>
  <c r="E378" i="2"/>
  <c r="K335" i="2"/>
  <c r="I335" i="2" s="1"/>
  <c r="J335" i="2" s="1"/>
  <c r="K383" i="2"/>
  <c r="I383" i="2" s="1"/>
  <c r="J383" i="2" s="1"/>
  <c r="Q381" i="2"/>
  <c r="Q371" i="2"/>
  <c r="K341" i="2"/>
  <c r="I341" i="2" s="1"/>
  <c r="J341" i="2" s="1"/>
  <c r="K345" i="2"/>
  <c r="I345" i="2" s="1"/>
  <c r="J345" i="2" s="1"/>
  <c r="E338" i="2"/>
  <c r="Q336" i="2"/>
  <c r="Q349" i="2"/>
  <c r="E349" i="2"/>
  <c r="K362" i="2"/>
  <c r="I362" i="2" s="1"/>
  <c r="J362" i="2" s="1"/>
  <c r="K336" i="2"/>
  <c r="I336" i="2" s="1"/>
  <c r="J336" i="2" s="1"/>
  <c r="Q366" i="2"/>
  <c r="P366" i="2" s="1"/>
  <c r="O366" i="2" s="1"/>
  <c r="Q347" i="2"/>
  <c r="E372" i="2"/>
  <c r="Q361" i="2"/>
  <c r="P361" i="2" s="1"/>
  <c r="O361" i="2" s="1"/>
  <c r="K386" i="2"/>
  <c r="I386" i="2" s="1"/>
  <c r="J386" i="2" s="1"/>
  <c r="K375" i="2"/>
  <c r="I375" i="2" s="1"/>
  <c r="J375" i="2" s="1"/>
  <c r="E354" i="2"/>
  <c r="E341" i="2"/>
  <c r="K349" i="2"/>
  <c r="I349" i="2" s="1"/>
  <c r="J349" i="2" s="1"/>
  <c r="E342" i="2"/>
  <c r="E343" i="2"/>
  <c r="E370" i="2"/>
  <c r="Q352" i="2"/>
  <c r="P352" i="2" s="1"/>
  <c r="O352" i="2" s="1"/>
  <c r="K373" i="2"/>
  <c r="I373" i="2" s="1"/>
  <c r="J373" i="2" s="1"/>
  <c r="K338" i="2"/>
  <c r="I338" i="2" s="1"/>
  <c r="J338" i="2" s="1"/>
  <c r="D71" i="11" l="1"/>
  <c r="B72" i="11"/>
  <c r="D72" i="11" s="1"/>
  <c r="D372" i="2"/>
  <c r="B372" i="2" s="1"/>
  <c r="C372" i="2" s="1"/>
  <c r="P336" i="2"/>
  <c r="O336" i="2" s="1"/>
  <c r="P359" i="2"/>
  <c r="O359" i="2" s="1"/>
  <c r="P368" i="2"/>
  <c r="O368" i="2" s="1"/>
  <c r="P381" i="2"/>
  <c r="O381" i="2" s="1"/>
  <c r="P388" i="2"/>
  <c r="O388" i="2" s="1"/>
  <c r="D343" i="2"/>
  <c r="B343" i="2" s="1"/>
  <c r="C343" i="2" s="1"/>
  <c r="D377" i="2"/>
  <c r="B377" i="2" s="1"/>
  <c r="C377" i="2" s="1"/>
  <c r="P370" i="2"/>
  <c r="O370" i="2" s="1"/>
  <c r="D354" i="2"/>
  <c r="B354" i="2" s="1"/>
  <c r="C354" i="2" s="1"/>
  <c r="P354" i="2"/>
  <c r="O354" i="2" s="1"/>
  <c r="P357" i="2"/>
  <c r="O357" i="2" s="1"/>
  <c r="P358" i="2"/>
  <c r="O358" i="2" s="1"/>
  <c r="D342" i="2"/>
  <c r="B342" i="2" s="1"/>
  <c r="C342" i="2" s="1"/>
  <c r="P385" i="2"/>
  <c r="O385" i="2" s="1"/>
  <c r="P378" i="2"/>
  <c r="O378" i="2" s="1"/>
  <c r="D338" i="2"/>
  <c r="B338" i="2" s="1"/>
  <c r="C338" i="2" s="1"/>
  <c r="D355" i="2"/>
  <c r="B355" i="2" s="1"/>
  <c r="C355" i="2" s="1"/>
  <c r="P350" i="2"/>
  <c r="O350" i="2" s="1"/>
  <c r="P335" i="2"/>
  <c r="O335" i="2" s="1"/>
  <c r="D340" i="2"/>
  <c r="B340" i="2" s="1"/>
  <c r="C340" i="2" s="1"/>
  <c r="P389" i="2"/>
  <c r="O389" i="2" s="1"/>
  <c r="P371" i="2"/>
  <c r="O371" i="2" s="1"/>
  <c r="P347" i="2"/>
  <c r="O347" i="2" s="1"/>
  <c r="P340" i="2"/>
  <c r="O340" i="2" s="1"/>
  <c r="D370" i="2"/>
  <c r="B370" i="2" s="1"/>
  <c r="C370" i="2" s="1"/>
  <c r="P382" i="2"/>
  <c r="O382" i="2" s="1"/>
  <c r="D360" i="2"/>
  <c r="B360" i="2" s="1"/>
  <c r="C360" i="2" s="1"/>
  <c r="D380" i="2"/>
  <c r="B380" i="2" s="1"/>
  <c r="C380" i="2" s="1"/>
  <c r="D389" i="2"/>
  <c r="B389" i="2" s="1"/>
  <c r="C389" i="2" s="1"/>
  <c r="D376" i="2"/>
  <c r="B376" i="2" s="1"/>
  <c r="C376" i="2" s="1"/>
  <c r="D335" i="2"/>
  <c r="B335" i="2" s="1"/>
  <c r="C335" i="2" s="1"/>
  <c r="P345" i="2"/>
  <c r="O345" i="2" s="1"/>
  <c r="D358" i="2"/>
  <c r="B358" i="2" s="1"/>
  <c r="C358" i="2" s="1"/>
  <c r="D366" i="2"/>
  <c r="B366" i="2" s="1"/>
  <c r="C366" i="2" s="1"/>
  <c r="D345" i="2"/>
  <c r="B345" i="2" s="1"/>
  <c r="C345" i="2" s="1"/>
  <c r="P351" i="2"/>
  <c r="O351" i="2" s="1"/>
  <c r="P338" i="2"/>
  <c r="O338" i="2" s="1"/>
  <c r="P355" i="2"/>
  <c r="O355" i="2" s="1"/>
  <c r="P379" i="2"/>
  <c r="O379" i="2" s="1"/>
  <c r="D336" i="2"/>
  <c r="B336" i="2" s="1"/>
  <c r="C336" i="2" s="1"/>
  <c r="D375" i="2"/>
  <c r="B375" i="2" s="1"/>
  <c r="C375" i="2" s="1"/>
  <c r="D381" i="2"/>
  <c r="B381" i="2" s="1"/>
  <c r="C381" i="2" s="1"/>
  <c r="P386" i="2"/>
  <c r="O386" i="2" s="1"/>
  <c r="D337" i="2"/>
  <c r="B337" i="2" s="1"/>
  <c r="C337" i="2" s="1"/>
  <c r="D352" i="2"/>
  <c r="B352" i="2" s="1"/>
  <c r="C352" i="2" s="1"/>
  <c r="D344" i="2"/>
  <c r="B344" i="2" s="1"/>
  <c r="C344" i="2" s="1"/>
  <c r="P373" i="2"/>
  <c r="O373" i="2" s="1"/>
  <c r="P353" i="2"/>
  <c r="O353" i="2" s="1"/>
  <c r="D350" i="2"/>
  <c r="B350" i="2" s="1"/>
  <c r="C350" i="2" s="1"/>
  <c r="D373" i="2"/>
  <c r="B373" i="2" s="1"/>
  <c r="C373" i="2" s="1"/>
  <c r="P387" i="2"/>
  <c r="O387" i="2" s="1"/>
  <c r="P341" i="2"/>
  <c r="O341" i="2" s="1"/>
  <c r="P343" i="2"/>
  <c r="O343" i="2" s="1"/>
  <c r="P344" i="2"/>
  <c r="O344" i="2" s="1"/>
  <c r="D348" i="2"/>
  <c r="B348" i="2" s="1"/>
  <c r="C348" i="2" s="1"/>
  <c r="D347" i="2"/>
  <c r="B347" i="2" s="1"/>
  <c r="C347" i="2" s="1"/>
  <c r="D385" i="2"/>
  <c r="B385" i="2" s="1"/>
  <c r="C385" i="2" s="1"/>
  <c r="D382" i="2"/>
  <c r="B382" i="2" s="1"/>
  <c r="C382" i="2" s="1"/>
  <c r="P348" i="2"/>
  <c r="O348" i="2" s="1"/>
  <c r="J334" i="2"/>
  <c r="AJ395" i="2" s="1"/>
  <c r="AL393" i="2"/>
  <c r="AL395" i="2"/>
  <c r="AL394" i="2"/>
  <c r="AH394" i="2"/>
  <c r="AL392" i="2"/>
  <c r="AL396" i="2"/>
  <c r="AG394" i="2"/>
  <c r="P375" i="2"/>
  <c r="O375" i="2" s="1"/>
  <c r="P363" i="2"/>
  <c r="O363" i="2" s="1"/>
  <c r="P362" i="2"/>
  <c r="O362" i="2" s="1"/>
  <c r="D367" i="2"/>
  <c r="B367" i="2" s="1"/>
  <c r="C367" i="2" s="1"/>
  <c r="D387" i="2"/>
  <c r="B387" i="2" s="1"/>
  <c r="C387" i="2" s="1"/>
  <c r="P360" i="2"/>
  <c r="O360" i="2" s="1"/>
  <c r="D390" i="2"/>
  <c r="B390" i="2" s="1"/>
  <c r="C390" i="2" s="1"/>
  <c r="D368" i="2"/>
  <c r="B368" i="2" s="1"/>
  <c r="C368" i="2" s="1"/>
  <c r="D383" i="2"/>
  <c r="B383" i="2" s="1"/>
  <c r="C383" i="2" s="1"/>
  <c r="D346" i="2"/>
  <c r="B346" i="2" s="1"/>
  <c r="C346" i="2" s="1"/>
  <c r="D339" i="2"/>
  <c r="B339" i="2" s="1"/>
  <c r="C339" i="2" s="1"/>
  <c r="D351" i="2"/>
  <c r="B351" i="2" s="1"/>
  <c r="C351" i="2" s="1"/>
  <c r="P356" i="2"/>
  <c r="O356" i="2" s="1"/>
  <c r="P372" i="2"/>
  <c r="O372" i="2" s="1"/>
  <c r="D365" i="2"/>
  <c r="B365" i="2" s="1"/>
  <c r="C365" i="2" s="1"/>
  <c r="D334" i="2"/>
  <c r="B334" i="2" s="1"/>
  <c r="C334" i="2" s="1"/>
  <c r="D359" i="2"/>
  <c r="B359" i="2" s="1"/>
  <c r="C359" i="2" s="1"/>
  <c r="D378" i="2"/>
  <c r="B378" i="2" s="1"/>
  <c r="C378" i="2" s="1"/>
  <c r="D363" i="2"/>
  <c r="B363" i="2" s="1"/>
  <c r="C363" i="2" s="1"/>
  <c r="D379" i="2"/>
  <c r="B379" i="2" s="1"/>
  <c r="C379" i="2" s="1"/>
  <c r="D374" i="2"/>
  <c r="B374" i="2" s="1"/>
  <c r="C374" i="2" s="1"/>
  <c r="D364" i="2"/>
  <c r="B364" i="2" s="1"/>
  <c r="C364" i="2" s="1"/>
  <c r="D369" i="2"/>
  <c r="B369" i="2" s="1"/>
  <c r="C369" i="2" s="1"/>
  <c r="D356" i="2"/>
  <c r="B356" i="2" s="1"/>
  <c r="C356" i="2" s="1"/>
  <c r="D349" i="2"/>
  <c r="B349" i="2" s="1"/>
  <c r="C349" i="2" s="1"/>
  <c r="P374" i="2"/>
  <c r="O374" i="2" s="1"/>
  <c r="P339" i="2"/>
  <c r="O339" i="2" s="1"/>
  <c r="P376" i="2"/>
  <c r="O376" i="2" s="1"/>
  <c r="P365" i="2"/>
  <c r="O365" i="2" s="1"/>
  <c r="D386" i="2"/>
  <c r="B386" i="2" s="1"/>
  <c r="C386" i="2" s="1"/>
  <c r="D371" i="2"/>
  <c r="B371" i="2" s="1"/>
  <c r="C371" i="2" s="1"/>
  <c r="D388" i="2"/>
  <c r="B388" i="2" s="1"/>
  <c r="C388" i="2" s="1"/>
  <c r="D361" i="2"/>
  <c r="B361" i="2" s="1"/>
  <c r="C361" i="2" s="1"/>
  <c r="D341" i="2"/>
  <c r="B341" i="2" s="1"/>
  <c r="C341" i="2" s="1"/>
  <c r="P349" i="2"/>
  <c r="O349" i="2" s="1"/>
  <c r="P380" i="2"/>
  <c r="O380" i="2" s="1"/>
  <c r="P334" i="2"/>
  <c r="O334" i="2" s="1"/>
  <c r="P346" i="2"/>
  <c r="O346" i="2" s="1"/>
  <c r="P337" i="2"/>
  <c r="O337" i="2" s="1"/>
  <c r="D384" i="2"/>
  <c r="B384" i="2" s="1"/>
  <c r="C384" i="2" s="1"/>
  <c r="D357" i="2"/>
  <c r="B357" i="2" s="1"/>
  <c r="C357" i="2" s="1"/>
  <c r="D353" i="2"/>
  <c r="B353" i="2" s="1"/>
  <c r="C353" i="2" s="1"/>
  <c r="D362" i="2"/>
  <c r="B362" i="2" s="1"/>
  <c r="C362" i="2" s="1"/>
  <c r="P377" i="2"/>
  <c r="O377" i="2" s="1"/>
  <c r="AK395" i="2" l="1"/>
  <c r="AH396" i="2"/>
  <c r="AG393" i="2"/>
  <c r="AK396" i="2"/>
  <c r="AG392" i="2"/>
  <c r="AJ394" i="2"/>
  <c r="AJ393" i="2"/>
  <c r="AH392" i="2"/>
  <c r="AK394" i="2"/>
  <c r="AJ392" i="2"/>
  <c r="AG395" i="2"/>
  <c r="AJ396" i="2"/>
  <c r="AK393" i="2"/>
  <c r="AK392" i="2"/>
  <c r="AH395" i="2"/>
  <c r="AG396" i="2"/>
  <c r="AH393" i="2"/>
  <c r="AA396" i="2"/>
  <c r="AD392" i="2"/>
  <c r="AC393" i="2"/>
  <c r="AC392" i="2"/>
  <c r="AB396" i="2"/>
  <c r="Z394" i="2"/>
  <c r="AB393" i="2"/>
  <c r="AD393" i="2"/>
  <c r="Z393" i="2"/>
  <c r="AA394" i="2"/>
  <c r="Z392" i="2"/>
  <c r="AF393" i="2"/>
  <c r="X393" i="2"/>
  <c r="AF394" i="2"/>
  <c r="AC396" i="2"/>
  <c r="AB392" i="2"/>
  <c r="X394" i="2"/>
  <c r="AB394" i="2"/>
  <c r="AA395" i="2"/>
  <c r="AC395" i="2"/>
  <c r="X395" i="2"/>
  <c r="AF392" i="2"/>
  <c r="AD396" i="2"/>
  <c r="AD394" i="2"/>
  <c r="AD395" i="2"/>
  <c r="AA393" i="2"/>
  <c r="W395" i="2"/>
  <c r="AM395" i="2" s="1"/>
  <c r="W392" i="2"/>
  <c r="Z396" i="2"/>
  <c r="AB395" i="2"/>
  <c r="W393" i="2"/>
  <c r="AF396" i="2"/>
  <c r="X392" i="2"/>
  <c r="AA392" i="2"/>
  <c r="W396" i="2"/>
  <c r="AF395" i="2"/>
  <c r="AC394" i="2"/>
  <c r="Z395" i="2"/>
  <c r="W394" i="2"/>
  <c r="X396" i="2"/>
  <c r="AM394" i="2" l="1"/>
  <c r="AM396" i="2"/>
  <c r="AM392" i="2"/>
  <c r="Y396" i="2"/>
  <c r="AE395" i="2"/>
  <c r="AI395" i="2"/>
  <c r="Y393" i="2"/>
  <c r="Y394" i="2"/>
  <c r="AE392" i="2"/>
  <c r="AE396" i="2"/>
  <c r="AI392" i="2"/>
  <c r="Y392" i="2"/>
  <c r="Y395" i="2"/>
  <c r="AI394" i="2"/>
  <c r="AI393" i="2"/>
  <c r="AI396" i="2"/>
  <c r="AE393" i="2"/>
  <c r="AM393" i="2"/>
  <c r="AE394" i="2"/>
  <c r="S395" i="2" l="1"/>
  <c r="Q395" i="2" s="1"/>
  <c r="S392" i="2"/>
  <c r="Q392" i="2" s="1"/>
  <c r="S394" i="2"/>
  <c r="Q394" i="2" s="1"/>
  <c r="S396" i="2"/>
  <c r="Q396" i="2" s="1"/>
  <c r="S393" i="2"/>
  <c r="Q393" i="2" s="1"/>
  <c r="P393" i="2" l="1"/>
  <c r="O393" i="2" s="1"/>
  <c r="J393" i="2" s="1"/>
  <c r="P396" i="2"/>
  <c r="O396" i="2" s="1"/>
  <c r="J396" i="2" s="1"/>
  <c r="P395" i="2"/>
  <c r="O395" i="2" s="1"/>
  <c r="J395" i="2" s="1"/>
  <c r="P392" i="2"/>
  <c r="O392" i="2" s="1"/>
  <c r="J392" i="2" s="1"/>
  <c r="P394" i="2"/>
  <c r="O394" i="2" s="1"/>
  <c r="J394" i="2" s="1"/>
  <c r="E15" i="11"/>
  <c r="E17" i="11"/>
  <c r="E22" i="11"/>
  <c r="E18" i="11"/>
  <c r="E16" i="11"/>
  <c r="E21" i="11"/>
  <c r="E19" i="11"/>
  <c r="E20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L12" i="11" l="1"/>
  <c r="I12" i="11"/>
  <c r="K9" i="11"/>
  <c r="E11" i="11"/>
  <c r="K11" i="11"/>
  <c r="F10" i="11"/>
  <c r="M12" i="11"/>
  <c r="L11" i="11"/>
  <c r="F11" i="11"/>
  <c r="I11" i="11"/>
  <c r="L10" i="11"/>
  <c r="F8" i="11"/>
  <c r="F9" i="11"/>
  <c r="P12" i="11"/>
  <c r="G8" i="11"/>
  <c r="P9" i="11"/>
  <c r="Q9" i="11" s="1"/>
  <c r="G9" i="11"/>
  <c r="I10" i="11"/>
  <c r="J10" i="11" s="1"/>
  <c r="M10" i="11"/>
  <c r="M11" i="11"/>
  <c r="K8" i="11"/>
  <c r="L9" i="11"/>
  <c r="E8" i="11"/>
  <c r="M8" i="11"/>
  <c r="E10" i="11"/>
  <c r="E9" i="11"/>
  <c r="P11" i="11"/>
  <c r="G11" i="11"/>
  <c r="M9" i="11"/>
  <c r="E12" i="11"/>
  <c r="L8" i="11"/>
  <c r="G12" i="11"/>
  <c r="G10" i="11"/>
  <c r="P8" i="11"/>
  <c r="I8" i="11"/>
  <c r="F12" i="11"/>
  <c r="E65" i="11"/>
  <c r="P10" i="11"/>
  <c r="I9" i="11"/>
  <c r="J9" i="11" s="1"/>
  <c r="K10" i="11"/>
  <c r="K12" i="11"/>
  <c r="E72" i="11"/>
  <c r="P72" i="11" s="1"/>
  <c r="E70" i="11"/>
  <c r="Q70" i="11" s="1"/>
  <c r="E71" i="11"/>
  <c r="E69" i="11"/>
  <c r="E67" i="11"/>
  <c r="E66" i="11"/>
  <c r="E68" i="11"/>
  <c r="P24" i="11"/>
  <c r="G24" i="11"/>
  <c r="M24" i="11"/>
  <c r="I24" i="11"/>
  <c r="K24" i="11"/>
  <c r="L24" i="11"/>
  <c r="F24" i="11"/>
  <c r="M59" i="11"/>
  <c r="F59" i="11"/>
  <c r="K59" i="11"/>
  <c r="P59" i="11"/>
  <c r="I59" i="11"/>
  <c r="G59" i="11"/>
  <c r="L59" i="11"/>
  <c r="F47" i="11"/>
  <c r="L47" i="11"/>
  <c r="K47" i="11"/>
  <c r="M47" i="11"/>
  <c r="P47" i="11"/>
  <c r="I47" i="11"/>
  <c r="G47" i="11"/>
  <c r="M35" i="11"/>
  <c r="G35" i="11"/>
  <c r="K35" i="11"/>
  <c r="P35" i="11"/>
  <c r="L35" i="11"/>
  <c r="I35" i="11"/>
  <c r="F35" i="11"/>
  <c r="P23" i="11"/>
  <c r="G23" i="11"/>
  <c r="F23" i="11"/>
  <c r="M23" i="11"/>
  <c r="I23" i="11"/>
  <c r="K23" i="11"/>
  <c r="L23" i="11"/>
  <c r="G46" i="11"/>
  <c r="F46" i="11"/>
  <c r="M46" i="11"/>
  <c r="I46" i="11"/>
  <c r="L46" i="11"/>
  <c r="K46" i="11"/>
  <c r="P46" i="11"/>
  <c r="K57" i="11"/>
  <c r="I57" i="11"/>
  <c r="P57" i="11"/>
  <c r="G57" i="11"/>
  <c r="L57" i="11"/>
  <c r="M57" i="11"/>
  <c r="F57" i="11"/>
  <c r="F45" i="11"/>
  <c r="G45" i="11"/>
  <c r="M45" i="11"/>
  <c r="K45" i="11"/>
  <c r="P45" i="11"/>
  <c r="L45" i="11"/>
  <c r="I45" i="11"/>
  <c r="F33" i="11"/>
  <c r="L33" i="11"/>
  <c r="K33" i="11"/>
  <c r="I33" i="11"/>
  <c r="M33" i="11"/>
  <c r="G33" i="11"/>
  <c r="P33" i="11"/>
  <c r="L19" i="11"/>
  <c r="K19" i="11"/>
  <c r="I19" i="11"/>
  <c r="M19" i="11"/>
  <c r="F19" i="11"/>
  <c r="G19" i="11"/>
  <c r="P19" i="11"/>
  <c r="I60" i="11"/>
  <c r="L60" i="11"/>
  <c r="P60" i="11"/>
  <c r="F60" i="11"/>
  <c r="M60" i="11"/>
  <c r="G60" i="11"/>
  <c r="K60" i="11"/>
  <c r="G56" i="11"/>
  <c r="F56" i="11"/>
  <c r="M56" i="11"/>
  <c r="P56" i="11"/>
  <c r="K56" i="11"/>
  <c r="L56" i="11"/>
  <c r="I56" i="11"/>
  <c r="K44" i="11"/>
  <c r="I44" i="11"/>
  <c r="G44" i="11"/>
  <c r="M44" i="11"/>
  <c r="F44" i="11"/>
  <c r="L44" i="11"/>
  <c r="P44" i="11"/>
  <c r="K32" i="11"/>
  <c r="G32" i="11"/>
  <c r="P32" i="11"/>
  <c r="F32" i="11"/>
  <c r="M32" i="11"/>
  <c r="I32" i="11"/>
  <c r="L32" i="11"/>
  <c r="I21" i="11"/>
  <c r="G21" i="11"/>
  <c r="P21" i="11"/>
  <c r="F21" i="11"/>
  <c r="M21" i="11"/>
  <c r="L21" i="11"/>
  <c r="K21" i="11"/>
  <c r="F20" i="11"/>
  <c r="M20" i="11"/>
  <c r="K20" i="11"/>
  <c r="L20" i="11"/>
  <c r="I20" i="11"/>
  <c r="G20" i="11"/>
  <c r="P20" i="11"/>
  <c r="M55" i="11"/>
  <c r="I55" i="11"/>
  <c r="L55" i="11"/>
  <c r="F55" i="11"/>
  <c r="P55" i="11"/>
  <c r="K55" i="11"/>
  <c r="G55" i="11"/>
  <c r="P43" i="11"/>
  <c r="F43" i="11"/>
  <c r="M43" i="11"/>
  <c r="G43" i="11"/>
  <c r="L43" i="11"/>
  <c r="K43" i="11"/>
  <c r="I43" i="11"/>
  <c r="P31" i="11"/>
  <c r="F31" i="11"/>
  <c r="L31" i="11"/>
  <c r="K31" i="11"/>
  <c r="G31" i="11"/>
  <c r="M31" i="11"/>
  <c r="I31" i="11"/>
  <c r="L16" i="11"/>
  <c r="G16" i="11"/>
  <c r="I16" i="11"/>
  <c r="K16" i="11"/>
  <c r="M16" i="11"/>
  <c r="F16" i="11"/>
  <c r="P16" i="11"/>
  <c r="G34" i="11"/>
  <c r="I34" i="11"/>
  <c r="F34" i="11"/>
  <c r="M34" i="11"/>
  <c r="L34" i="11"/>
  <c r="P34" i="11"/>
  <c r="K34" i="11"/>
  <c r="I54" i="11"/>
  <c r="G54" i="11"/>
  <c r="F54" i="11"/>
  <c r="P54" i="11"/>
  <c r="M54" i="11"/>
  <c r="L54" i="11"/>
  <c r="K54" i="11"/>
  <c r="K42" i="11"/>
  <c r="I42" i="11"/>
  <c r="P42" i="11"/>
  <c r="L42" i="11"/>
  <c r="G42" i="11"/>
  <c r="M42" i="11"/>
  <c r="F42" i="11"/>
  <c r="M30" i="11"/>
  <c r="L30" i="11"/>
  <c r="K30" i="11"/>
  <c r="I30" i="11"/>
  <c r="G30" i="11"/>
  <c r="P30" i="11"/>
  <c r="F30" i="11"/>
  <c r="F18" i="11"/>
  <c r="I18" i="11"/>
  <c r="L18" i="11"/>
  <c r="M18" i="11"/>
  <c r="G18" i="11"/>
  <c r="P18" i="11"/>
  <c r="K18" i="11"/>
  <c r="K36" i="11"/>
  <c r="G36" i="11"/>
  <c r="I36" i="11"/>
  <c r="M36" i="11"/>
  <c r="P36" i="11"/>
  <c r="F36" i="11"/>
  <c r="L36" i="11"/>
  <c r="L53" i="11"/>
  <c r="G53" i="11"/>
  <c r="M53" i="11"/>
  <c r="I53" i="11"/>
  <c r="F53" i="11"/>
  <c r="K53" i="11"/>
  <c r="P53" i="11"/>
  <c r="K41" i="11"/>
  <c r="F41" i="11"/>
  <c r="P41" i="11"/>
  <c r="L41" i="11"/>
  <c r="M41" i="11"/>
  <c r="G41" i="11"/>
  <c r="I41" i="11"/>
  <c r="P29" i="11"/>
  <c r="F29" i="11"/>
  <c r="M29" i="11"/>
  <c r="I29" i="11"/>
  <c r="L29" i="11"/>
  <c r="K29" i="11"/>
  <c r="G29" i="11"/>
  <c r="K22" i="11"/>
  <c r="P22" i="11"/>
  <c r="L22" i="11"/>
  <c r="G22" i="11"/>
  <c r="F22" i="11"/>
  <c r="I22" i="11"/>
  <c r="M22" i="11"/>
  <c r="M64" i="11"/>
  <c r="K64" i="11"/>
  <c r="G64" i="11"/>
  <c r="L64" i="11"/>
  <c r="F64" i="11"/>
  <c r="I64" i="11"/>
  <c r="P64" i="11"/>
  <c r="F52" i="11"/>
  <c r="K52" i="11"/>
  <c r="I52" i="11"/>
  <c r="G52" i="11"/>
  <c r="L52" i="11"/>
  <c r="M52" i="11"/>
  <c r="P52" i="11"/>
  <c r="F40" i="11"/>
  <c r="K40" i="11"/>
  <c r="L40" i="11"/>
  <c r="G40" i="11"/>
  <c r="I40" i="11"/>
  <c r="M40" i="11"/>
  <c r="P40" i="11"/>
  <c r="G28" i="11"/>
  <c r="I28" i="11"/>
  <c r="K28" i="11"/>
  <c r="P28" i="11"/>
  <c r="F28" i="11"/>
  <c r="M28" i="11"/>
  <c r="L28" i="11"/>
  <c r="P17" i="11"/>
  <c r="M17" i="11"/>
  <c r="G17" i="11"/>
  <c r="F17" i="11"/>
  <c r="K17" i="11"/>
  <c r="L17" i="11"/>
  <c r="I17" i="11"/>
  <c r="K63" i="11"/>
  <c r="L63" i="11"/>
  <c r="P63" i="11"/>
  <c r="I63" i="11"/>
  <c r="G63" i="11"/>
  <c r="F63" i="11"/>
  <c r="M63" i="11"/>
  <c r="K51" i="11"/>
  <c r="I51" i="11"/>
  <c r="P51" i="11"/>
  <c r="L51" i="11"/>
  <c r="F51" i="11"/>
  <c r="G51" i="11"/>
  <c r="M51" i="11"/>
  <c r="F39" i="11"/>
  <c r="I39" i="11"/>
  <c r="L39" i="11"/>
  <c r="M39" i="11"/>
  <c r="K39" i="11"/>
  <c r="G39" i="11"/>
  <c r="P39" i="11"/>
  <c r="P27" i="11"/>
  <c r="M27" i="11"/>
  <c r="I27" i="11"/>
  <c r="F27" i="11"/>
  <c r="G27" i="11"/>
  <c r="K27" i="11"/>
  <c r="L27" i="11"/>
  <c r="K15" i="11"/>
  <c r="I15" i="11"/>
  <c r="G15" i="11"/>
  <c r="M15" i="11"/>
  <c r="L15" i="11"/>
  <c r="F15" i="11"/>
  <c r="P15" i="11"/>
  <c r="M58" i="11"/>
  <c r="I58" i="11"/>
  <c r="K58" i="11"/>
  <c r="G58" i="11"/>
  <c r="L58" i="11"/>
  <c r="P58" i="11"/>
  <c r="F58" i="11"/>
  <c r="F62" i="11"/>
  <c r="G62" i="11"/>
  <c r="M62" i="11"/>
  <c r="I62" i="11"/>
  <c r="L62" i="11"/>
  <c r="P62" i="11"/>
  <c r="K62" i="11"/>
  <c r="F50" i="11"/>
  <c r="L50" i="11"/>
  <c r="P50" i="11"/>
  <c r="M50" i="11"/>
  <c r="G50" i="11"/>
  <c r="K50" i="11"/>
  <c r="I50" i="11"/>
  <c r="M38" i="11"/>
  <c r="K38" i="11"/>
  <c r="L38" i="11"/>
  <c r="P38" i="11"/>
  <c r="G38" i="11"/>
  <c r="F38" i="11"/>
  <c r="I38" i="11"/>
  <c r="I26" i="11"/>
  <c r="L26" i="11"/>
  <c r="G26" i="11"/>
  <c r="P26" i="11"/>
  <c r="K26" i="11"/>
  <c r="M26" i="11"/>
  <c r="F26" i="11"/>
  <c r="I48" i="11"/>
  <c r="F48" i="11"/>
  <c r="L48" i="11"/>
  <c r="P48" i="11"/>
  <c r="M48" i="11"/>
  <c r="K48" i="11"/>
  <c r="G48" i="11"/>
  <c r="L61" i="11"/>
  <c r="I61" i="11"/>
  <c r="M61" i="11"/>
  <c r="G61" i="11"/>
  <c r="K61" i="11"/>
  <c r="F61" i="11"/>
  <c r="P61" i="11"/>
  <c r="K49" i="11"/>
  <c r="F49" i="11"/>
  <c r="I49" i="11"/>
  <c r="P49" i="11"/>
  <c r="M49" i="11"/>
  <c r="G49" i="11"/>
  <c r="L49" i="11"/>
  <c r="L37" i="11"/>
  <c r="P37" i="11"/>
  <c r="M37" i="11"/>
  <c r="F37" i="11"/>
  <c r="I37" i="11"/>
  <c r="G37" i="11"/>
  <c r="K37" i="11"/>
  <c r="F25" i="11"/>
  <c r="L25" i="11"/>
  <c r="P25" i="11"/>
  <c r="M25" i="11"/>
  <c r="I25" i="11"/>
  <c r="G25" i="11"/>
  <c r="K25" i="11"/>
  <c r="H11" i="11" l="1"/>
  <c r="Q11" i="11"/>
  <c r="M13" i="11"/>
  <c r="H9" i="11"/>
  <c r="F13" i="11"/>
  <c r="H10" i="11"/>
  <c r="L13" i="11"/>
  <c r="Q10" i="11"/>
  <c r="I13" i="11"/>
  <c r="J8" i="11"/>
  <c r="P13" i="11"/>
  <c r="Q8" i="11"/>
  <c r="J11" i="11"/>
  <c r="N8" i="11"/>
  <c r="O8" i="11"/>
  <c r="K13" i="11"/>
  <c r="H12" i="11"/>
  <c r="N12" i="11"/>
  <c r="O12" i="11"/>
  <c r="N11" i="11"/>
  <c r="O11" i="11"/>
  <c r="N10" i="11"/>
  <c r="O10" i="11"/>
  <c r="G13" i="11"/>
  <c r="H8" i="11"/>
  <c r="O9" i="11"/>
  <c r="N9" i="11"/>
  <c r="Q12" i="11"/>
  <c r="J12" i="11"/>
  <c r="I65" i="11"/>
  <c r="F65" i="11"/>
  <c r="M65" i="11"/>
  <c r="L65" i="11"/>
  <c r="G65" i="11"/>
  <c r="P65" i="11"/>
  <c r="Q65" i="11" s="1"/>
  <c r="K65" i="11"/>
  <c r="Q40" i="11"/>
  <c r="H47" i="11"/>
  <c r="H72" i="11"/>
  <c r="I72" i="11"/>
  <c r="G72" i="11"/>
  <c r="Q72" i="11"/>
  <c r="J72" i="11"/>
  <c r="K72" i="11"/>
  <c r="L72" i="11"/>
  <c r="M72" i="11"/>
  <c r="L70" i="11"/>
  <c r="M70" i="11"/>
  <c r="N70" i="11"/>
  <c r="N72" i="11"/>
  <c r="O70" i="11"/>
  <c r="O72" i="11"/>
  <c r="F70" i="11"/>
  <c r="F72" i="11"/>
  <c r="J37" i="11"/>
  <c r="P70" i="11"/>
  <c r="J70" i="11"/>
  <c r="K70" i="11"/>
  <c r="H33" i="11"/>
  <c r="H70" i="11"/>
  <c r="G70" i="11"/>
  <c r="I70" i="11"/>
  <c r="J47" i="11"/>
  <c r="Q71" i="11"/>
  <c r="G71" i="11"/>
  <c r="P71" i="11"/>
  <c r="F71" i="11"/>
  <c r="O71" i="11"/>
  <c r="N71" i="11"/>
  <c r="M71" i="11"/>
  <c r="L71" i="11"/>
  <c r="K71" i="11"/>
  <c r="J71" i="11"/>
  <c r="H71" i="11"/>
  <c r="I71" i="11"/>
  <c r="Q47" i="11"/>
  <c r="J52" i="11"/>
  <c r="H54" i="11"/>
  <c r="Q16" i="11"/>
  <c r="Q52" i="11"/>
  <c r="J63" i="11"/>
  <c r="G69" i="11"/>
  <c r="P69" i="11"/>
  <c r="F69" i="11"/>
  <c r="I69" i="11"/>
  <c r="M69" i="11"/>
  <c r="L69" i="11"/>
  <c r="K69" i="11"/>
  <c r="H32" i="11"/>
  <c r="H43" i="11"/>
  <c r="Q58" i="11"/>
  <c r="H46" i="11"/>
  <c r="J56" i="11"/>
  <c r="H40" i="11"/>
  <c r="J64" i="11"/>
  <c r="H37" i="11"/>
  <c r="Q41" i="11"/>
  <c r="H34" i="11"/>
  <c r="Q61" i="11"/>
  <c r="H50" i="11"/>
  <c r="Q17" i="11"/>
  <c r="J59" i="11"/>
  <c r="Q27" i="11"/>
  <c r="Q55" i="11"/>
  <c r="J32" i="11"/>
  <c r="O60" i="11"/>
  <c r="J42" i="11"/>
  <c r="Q34" i="11"/>
  <c r="J43" i="11"/>
  <c r="J17" i="11"/>
  <c r="J39" i="11"/>
  <c r="H49" i="11"/>
  <c r="Q45" i="11"/>
  <c r="P66" i="11"/>
  <c r="M66" i="11"/>
  <c r="G66" i="11"/>
  <c r="I66" i="11"/>
  <c r="K66" i="11"/>
  <c r="F66" i="11"/>
  <c r="L66" i="11"/>
  <c r="P68" i="11"/>
  <c r="L68" i="11"/>
  <c r="F68" i="11"/>
  <c r="G68" i="11"/>
  <c r="M68" i="11"/>
  <c r="I68" i="11"/>
  <c r="K68" i="11"/>
  <c r="P67" i="11"/>
  <c r="M67" i="11"/>
  <c r="L67" i="11"/>
  <c r="I67" i="11"/>
  <c r="K67" i="11"/>
  <c r="F67" i="11"/>
  <c r="G67" i="11"/>
  <c r="H56" i="11"/>
  <c r="N45" i="11"/>
  <c r="N57" i="11"/>
  <c r="J21" i="11"/>
  <c r="H60" i="11"/>
  <c r="Q46" i="11"/>
  <c r="J50" i="11"/>
  <c r="H17" i="11"/>
  <c r="J40" i="11"/>
  <c r="J20" i="11"/>
  <c r="Q26" i="11"/>
  <c r="Q22" i="11"/>
  <c r="H45" i="11"/>
  <c r="J54" i="11"/>
  <c r="J35" i="11"/>
  <c r="Q51" i="11"/>
  <c r="H48" i="11"/>
  <c r="H29" i="11"/>
  <c r="Q56" i="11"/>
  <c r="H51" i="11"/>
  <c r="H30" i="11"/>
  <c r="O44" i="11"/>
  <c r="Q33" i="11"/>
  <c r="O27" i="11"/>
  <c r="J28" i="11"/>
  <c r="Q53" i="11"/>
  <c r="J30" i="11"/>
  <c r="J34" i="11"/>
  <c r="Q30" i="11"/>
  <c r="Q48" i="11"/>
  <c r="H27" i="11"/>
  <c r="N31" i="11"/>
  <c r="N55" i="11"/>
  <c r="H20" i="11"/>
  <c r="O45" i="11"/>
  <c r="N21" i="11"/>
  <c r="Q19" i="11"/>
  <c r="Q29" i="11"/>
  <c r="N16" i="11"/>
  <c r="H19" i="11"/>
  <c r="H57" i="11"/>
  <c r="H44" i="11"/>
  <c r="Q44" i="11"/>
  <c r="Q59" i="11"/>
  <c r="H22" i="11"/>
  <c r="H41" i="11"/>
  <c r="H42" i="11"/>
  <c r="H63" i="11"/>
  <c r="Q36" i="11"/>
  <c r="Q32" i="11"/>
  <c r="Q60" i="11"/>
  <c r="J23" i="11"/>
  <c r="Q49" i="11"/>
  <c r="J26" i="11"/>
  <c r="Q42" i="11"/>
  <c r="J16" i="11"/>
  <c r="J55" i="11"/>
  <c r="N50" i="11"/>
  <c r="H58" i="11"/>
  <c r="J36" i="11"/>
  <c r="O34" i="11"/>
  <c r="O56" i="11"/>
  <c r="J60" i="11"/>
  <c r="H36" i="11"/>
  <c r="O16" i="11"/>
  <c r="O43" i="11"/>
  <c r="J33" i="11"/>
  <c r="O47" i="11"/>
  <c r="Q31" i="11"/>
  <c r="N49" i="11"/>
  <c r="N64" i="11"/>
  <c r="O31" i="11"/>
  <c r="J24" i="11"/>
  <c r="J27" i="11"/>
  <c r="J29" i="11"/>
  <c r="J53" i="11"/>
  <c r="O18" i="11"/>
  <c r="N54" i="11"/>
  <c r="J31" i="11"/>
  <c r="H21" i="11"/>
  <c r="J48" i="11"/>
  <c r="H28" i="11"/>
  <c r="O57" i="11"/>
  <c r="N59" i="11"/>
  <c r="N61" i="11"/>
  <c r="J15" i="11"/>
  <c r="N17" i="11"/>
  <c r="H31" i="11"/>
  <c r="Q43" i="11"/>
  <c r="H59" i="11"/>
  <c r="H61" i="11"/>
  <c r="J51" i="11"/>
  <c r="H52" i="11"/>
  <c r="J41" i="11"/>
  <c r="Q54" i="11"/>
  <c r="H55" i="11"/>
  <c r="O32" i="11"/>
  <c r="N60" i="11"/>
  <c r="J19" i="11"/>
  <c r="J45" i="11"/>
  <c r="H38" i="11"/>
  <c r="O58" i="11"/>
  <c r="Q64" i="11"/>
  <c r="O36" i="11"/>
  <c r="N20" i="11"/>
  <c r="O59" i="11"/>
  <c r="Q37" i="11"/>
  <c r="J61" i="11"/>
  <c r="Q38" i="11"/>
  <c r="N62" i="11"/>
  <c r="J58" i="11"/>
  <c r="O40" i="11"/>
  <c r="N18" i="11"/>
  <c r="N43" i="11"/>
  <c r="N19" i="11"/>
  <c r="N46" i="11"/>
  <c r="H23" i="11"/>
  <c r="O38" i="11"/>
  <c r="Q63" i="11"/>
  <c r="O22" i="11"/>
  <c r="O25" i="11"/>
  <c r="N38" i="11"/>
  <c r="Q15" i="11"/>
  <c r="Q18" i="11"/>
  <c r="J46" i="11"/>
  <c r="H35" i="11"/>
  <c r="O24" i="11"/>
  <c r="O63" i="11"/>
  <c r="H64" i="11"/>
  <c r="N36" i="11"/>
  <c r="H18" i="11"/>
  <c r="O30" i="11"/>
  <c r="O42" i="11"/>
  <c r="O21" i="11"/>
  <c r="O26" i="11"/>
  <c r="Q39" i="11"/>
  <c r="Q28" i="11"/>
  <c r="N24" i="11"/>
  <c r="O61" i="11"/>
  <c r="H39" i="11"/>
  <c r="O28" i="11"/>
  <c r="O41" i="11"/>
  <c r="Q57" i="11"/>
  <c r="Q25" i="11"/>
  <c r="H26" i="11"/>
  <c r="O50" i="11"/>
  <c r="Q62" i="11"/>
  <c r="H15" i="11"/>
  <c r="O39" i="11"/>
  <c r="N51" i="11"/>
  <c r="J18" i="11"/>
  <c r="N42" i="11"/>
  <c r="O20" i="11"/>
  <c r="J44" i="11"/>
  <c r="J57" i="11"/>
  <c r="N35" i="11"/>
  <c r="O17" i="11"/>
  <c r="O29" i="11"/>
  <c r="H53" i="11"/>
  <c r="O55" i="11"/>
  <c r="Q20" i="11"/>
  <c r="N44" i="11"/>
  <c r="N23" i="11"/>
  <c r="H24" i="11"/>
  <c r="J49" i="11"/>
  <c r="N48" i="11"/>
  <c r="N15" i="11"/>
  <c r="N39" i="11"/>
  <c r="N52" i="11"/>
  <c r="J22" i="11"/>
  <c r="H16" i="11"/>
  <c r="N56" i="11"/>
  <c r="O23" i="11"/>
  <c r="N37" i="11"/>
  <c r="J38" i="11"/>
  <c r="Q50" i="11"/>
  <c r="N27" i="11"/>
  <c r="O53" i="11"/>
  <c r="Q21" i="11"/>
  <c r="N32" i="11"/>
  <c r="N33" i="11"/>
  <c r="O46" i="11"/>
  <c r="N47" i="11"/>
  <c r="Q35" i="11"/>
  <c r="Q24" i="11"/>
  <c r="N30" i="11"/>
  <c r="O54" i="11"/>
  <c r="N34" i="11"/>
  <c r="O19" i="11"/>
  <c r="O33" i="11"/>
  <c r="O35" i="11"/>
  <c r="O37" i="11"/>
  <c r="O49" i="11"/>
  <c r="N26" i="11"/>
  <c r="O62" i="11"/>
  <c r="N63" i="11"/>
  <c r="N41" i="11"/>
  <c r="N53" i="11"/>
  <c r="N58" i="11"/>
  <c r="N40" i="11"/>
  <c r="N22" i="11"/>
  <c r="O48" i="11"/>
  <c r="N28" i="11"/>
  <c r="O64" i="11"/>
  <c r="J62" i="11"/>
  <c r="O15" i="11"/>
  <c r="O51" i="11"/>
  <c r="O52" i="11"/>
  <c r="N29" i="11"/>
  <c r="N25" i="11"/>
  <c r="H62" i="11"/>
  <c r="Q23" i="11"/>
  <c r="H25" i="11"/>
  <c r="J25" i="11"/>
  <c r="J13" i="11" l="1"/>
  <c r="H13" i="11"/>
  <c r="Q13" i="11"/>
  <c r="J69" i="11"/>
  <c r="H65" i="11"/>
  <c r="O13" i="11"/>
  <c r="J65" i="11"/>
  <c r="N13" i="11"/>
  <c r="N65" i="11"/>
  <c r="O65" i="11"/>
  <c r="H67" i="11"/>
  <c r="H68" i="11"/>
  <c r="H69" i="11"/>
  <c r="J68" i="11"/>
  <c r="Q69" i="11"/>
  <c r="O69" i="11"/>
  <c r="N69" i="11"/>
  <c r="Q68" i="11"/>
  <c r="O68" i="11"/>
  <c r="H66" i="11"/>
  <c r="O66" i="11"/>
  <c r="N66" i="11"/>
  <c r="J66" i="11"/>
  <c r="N68" i="11"/>
  <c r="Q66" i="11"/>
  <c r="O67" i="11"/>
  <c r="N67" i="11"/>
  <c r="Q67" i="11"/>
  <c r="J67" i="11"/>
</calcChain>
</file>

<file path=xl/sharedStrings.xml><?xml version="1.0" encoding="utf-8"?>
<sst xmlns="http://schemas.openxmlformats.org/spreadsheetml/2006/main" count="1106" uniqueCount="289">
  <si>
    <t>Store Name</t>
  </si>
  <si>
    <t>Retention %</t>
  </si>
  <si>
    <t>Total Store Opportunities</t>
  </si>
  <si>
    <t>Total Retention</t>
  </si>
  <si>
    <t>In Progress</t>
  </si>
  <si>
    <t>Non Responsive</t>
  </si>
  <si>
    <t>Untouched</t>
  </si>
  <si>
    <t>Pending %</t>
  </si>
  <si>
    <t>Non-Retained %</t>
  </si>
  <si>
    <t>Acura North Scottsdale</t>
  </si>
  <si>
    <t>Acura of Escondido</t>
  </si>
  <si>
    <t>Audi Chandler</t>
  </si>
  <si>
    <t>Audi Escondido</t>
  </si>
  <si>
    <t>Audi North Scottsdale</t>
  </si>
  <si>
    <t>Audi South Coast</t>
  </si>
  <si>
    <t>Bentley Scottsdale</t>
  </si>
  <si>
    <t>BMW North Scottsdale</t>
  </si>
  <si>
    <t>BMW of Austin</t>
  </si>
  <si>
    <t>BMW of Ontario</t>
  </si>
  <si>
    <t>BMW of San Diego</t>
  </si>
  <si>
    <t>Crevier BMW</t>
  </si>
  <si>
    <t>Peter Pan BMW</t>
  </si>
  <si>
    <t>Capitol Honda</t>
  </si>
  <si>
    <t>Honda North</t>
  </si>
  <si>
    <t>Honda of Escondido</t>
  </si>
  <si>
    <t>Round Rock Honda</t>
  </si>
  <si>
    <t>Tempe Honda</t>
  </si>
  <si>
    <t>Hyundai of Pharr</t>
  </si>
  <si>
    <t>Round Rock Hyundai</t>
  </si>
  <si>
    <t>Lexus of Austin</t>
  </si>
  <si>
    <t>Lexus of Chandler</t>
  </si>
  <si>
    <t>Lexus of Lakeway</t>
  </si>
  <si>
    <t>Lexus San Diego</t>
  </si>
  <si>
    <t>Lincoln South Coast</t>
  </si>
  <si>
    <t>Mazda of Escondido</t>
  </si>
  <si>
    <t>Mercedes-Benz of Chandler</t>
  </si>
  <si>
    <t>Mercedes-Benz of San Diego</t>
  </si>
  <si>
    <t>Crevier MINI</t>
  </si>
  <si>
    <t>MINI North Scottsdale</t>
  </si>
  <si>
    <t>MINI of Austin</t>
  </si>
  <si>
    <t>MINI of Marin</t>
  </si>
  <si>
    <t>MINI of Ontario</t>
  </si>
  <si>
    <t>MINI of San Diego</t>
  </si>
  <si>
    <t>MINI of Tempe</t>
  </si>
  <si>
    <t>Porsche North Scottsdale</t>
  </si>
  <si>
    <t>Porsche Stevens Creek</t>
  </si>
  <si>
    <t>Scottsdale Ferrari Maserati</t>
  </si>
  <si>
    <t>Subaru Orange Coast</t>
  </si>
  <si>
    <t>Round Rock Toyota</t>
  </si>
  <si>
    <t>Kearny Mesa Toyota</t>
  </si>
  <si>
    <t>Toyota of Clovis</t>
  </si>
  <si>
    <t>Toyota of Pharr</t>
  </si>
  <si>
    <t>Toyota of Surprise</t>
  </si>
  <si>
    <t>Volkswagen North Scottsdale</t>
  </si>
  <si>
    <t>Volkswagen South Coast</t>
  </si>
  <si>
    <t>Acura</t>
  </si>
  <si>
    <t>Audi</t>
  </si>
  <si>
    <t>Bentley</t>
  </si>
  <si>
    <t>BMW</t>
  </si>
  <si>
    <t>Honda</t>
  </si>
  <si>
    <t>Hyundai</t>
  </si>
  <si>
    <t>Lexus</t>
  </si>
  <si>
    <t>Lincoln</t>
  </si>
  <si>
    <t>Mazda</t>
  </si>
  <si>
    <t>Mercedes-Benz</t>
  </si>
  <si>
    <t>MINI</t>
  </si>
  <si>
    <t>Porsche</t>
  </si>
  <si>
    <t>Ferrari Maserati</t>
  </si>
  <si>
    <t>Subaru</t>
  </si>
  <si>
    <t>Toyota</t>
  </si>
  <si>
    <t>Volkswagen</t>
  </si>
  <si>
    <t xml:space="preserve">TOTAL: </t>
  </si>
  <si>
    <t>WEST TOTAL:</t>
  </si>
  <si>
    <t>Kearny Mesa Acura</t>
  </si>
  <si>
    <t>New Purchase</t>
  </si>
  <si>
    <t>New Lease</t>
  </si>
  <si>
    <t>Lease Extended</t>
  </si>
  <si>
    <t>Lease Buyouts</t>
  </si>
  <si>
    <t>Lease Drop Off</t>
  </si>
  <si>
    <t>Lost Business</t>
  </si>
  <si>
    <t>PAG Referral</t>
  </si>
  <si>
    <t>AC</t>
  </si>
  <si>
    <t>AU</t>
  </si>
  <si>
    <t>BE</t>
  </si>
  <si>
    <t>BM</t>
  </si>
  <si>
    <t>HO</t>
  </si>
  <si>
    <t>MI</t>
  </si>
  <si>
    <t>HY</t>
  </si>
  <si>
    <t>TO</t>
  </si>
  <si>
    <t>VW</t>
  </si>
  <si>
    <t>SU</t>
  </si>
  <si>
    <t>FE</t>
  </si>
  <si>
    <t>PO</t>
  </si>
  <si>
    <t>MB</t>
  </si>
  <si>
    <t>MA</t>
  </si>
  <si>
    <t>LI</t>
  </si>
  <si>
    <t>LE</t>
  </si>
  <si>
    <t>JA</t>
  </si>
  <si>
    <t>AZ</t>
  </si>
  <si>
    <t>SoCal</t>
  </si>
  <si>
    <t>OC</t>
  </si>
  <si>
    <t>TX</t>
  </si>
  <si>
    <t>NorCal</t>
  </si>
  <si>
    <t>Region Rank</t>
  </si>
  <si>
    <t>Brand Rank</t>
  </si>
  <si>
    <t>Market Rank</t>
  </si>
  <si>
    <t>AC-1</t>
  </si>
  <si>
    <t>AC-2</t>
  </si>
  <si>
    <t>AU-5</t>
  </si>
  <si>
    <t>AU-3</t>
  </si>
  <si>
    <t>AU-2</t>
  </si>
  <si>
    <t>AU-4</t>
  </si>
  <si>
    <t>AU-1</t>
  </si>
  <si>
    <t>BE-1</t>
  </si>
  <si>
    <t>BM-4</t>
  </si>
  <si>
    <t>BM-1</t>
  </si>
  <si>
    <t>BM-5</t>
  </si>
  <si>
    <t>BM-2</t>
  </si>
  <si>
    <t>HO-1</t>
  </si>
  <si>
    <t>BM-3</t>
  </si>
  <si>
    <t>MI-5</t>
  </si>
  <si>
    <t>HO-2</t>
  </si>
  <si>
    <t>HY-2</t>
  </si>
  <si>
    <t>JA-2</t>
  </si>
  <si>
    <t>JA-1</t>
  </si>
  <si>
    <t>AC-4</t>
  </si>
  <si>
    <t>TO-1</t>
  </si>
  <si>
    <t>LE-4</t>
  </si>
  <si>
    <t>LE-1</t>
  </si>
  <si>
    <t>LE-2</t>
  </si>
  <si>
    <t>LE-3</t>
  </si>
  <si>
    <t>LI-1</t>
  </si>
  <si>
    <t>AC-3</t>
  </si>
  <si>
    <t>HO-5</t>
  </si>
  <si>
    <t>MA-1</t>
  </si>
  <si>
    <t>MB-3</t>
  </si>
  <si>
    <t>MB-1</t>
  </si>
  <si>
    <t>MB-2</t>
  </si>
  <si>
    <t>MI-6</t>
  </si>
  <si>
    <t>MI-4</t>
  </si>
  <si>
    <t>MI-3</t>
  </si>
  <si>
    <t>MI-7</t>
  </si>
  <si>
    <t>MI-2</t>
  </si>
  <si>
    <t>MI-1</t>
  </si>
  <si>
    <t>BM-6</t>
  </si>
  <si>
    <t>PO-2</t>
  </si>
  <si>
    <t>PO-1</t>
  </si>
  <si>
    <t>HO-4</t>
  </si>
  <si>
    <t>HY-1</t>
  </si>
  <si>
    <t>TO-5</t>
  </si>
  <si>
    <t>FE-1</t>
  </si>
  <si>
    <t>SU-1</t>
  </si>
  <si>
    <t>HO-3</t>
  </si>
  <si>
    <t>TO-2</t>
  </si>
  <si>
    <t>TO-3</t>
  </si>
  <si>
    <t>TO-4</t>
  </si>
  <si>
    <t>VW-1</t>
  </si>
  <si>
    <t>VW-2</t>
  </si>
  <si>
    <t>RGN</t>
  </si>
  <si>
    <t>RGN-1</t>
  </si>
  <si>
    <t>RGN-2</t>
  </si>
  <si>
    <t>RGN-3</t>
  </si>
  <si>
    <t>RGN-4</t>
  </si>
  <si>
    <t>RGN-5</t>
  </si>
  <si>
    <t>WEST-5</t>
  </si>
  <si>
    <t>WEST-6</t>
  </si>
  <si>
    <t>WEST-44</t>
  </si>
  <si>
    <t>WEST-30</t>
  </si>
  <si>
    <t>WEST-25</t>
  </si>
  <si>
    <t>WEST-36</t>
  </si>
  <si>
    <t>WEST-9</t>
  </si>
  <si>
    <t>WEST-52</t>
  </si>
  <si>
    <t>WEST-28</t>
  </si>
  <si>
    <t>WEST-21</t>
  </si>
  <si>
    <t>WEST-37</t>
  </si>
  <si>
    <t>WEST-23</t>
  </si>
  <si>
    <t>WEST-12</t>
  </si>
  <si>
    <t>WEST-27</t>
  </si>
  <si>
    <t>WEST-43</t>
  </si>
  <si>
    <t>WEST-48</t>
  </si>
  <si>
    <t>WEST-17</t>
  </si>
  <si>
    <t>WEST-45</t>
  </si>
  <si>
    <t>WEST-53</t>
  </si>
  <si>
    <t>WEST-14</t>
  </si>
  <si>
    <t>WEST-41</t>
  </si>
  <si>
    <t>WEST-10</t>
  </si>
  <si>
    <t>WEST-18</t>
  </si>
  <si>
    <t>WEST-2</t>
  </si>
  <si>
    <t>WEST-8</t>
  </si>
  <si>
    <t>WEST-16</t>
  </si>
  <si>
    <t>WEST-46</t>
  </si>
  <si>
    <t>WEST-11</t>
  </si>
  <si>
    <t>WEST-39</t>
  </si>
  <si>
    <t>WEST-13</t>
  </si>
  <si>
    <t>WEST-42</t>
  </si>
  <si>
    <t>WEST-15</t>
  </si>
  <si>
    <t>WEST-31</t>
  </si>
  <si>
    <t>WEST-50</t>
  </si>
  <si>
    <t>WEST-34</t>
  </si>
  <si>
    <t>WEST-26</t>
  </si>
  <si>
    <t>WEST-51</t>
  </si>
  <si>
    <t>WEST-7</t>
  </si>
  <si>
    <t>WEST-1</t>
  </si>
  <si>
    <t>WEST-47</t>
  </si>
  <si>
    <t>WEST-4</t>
  </si>
  <si>
    <t>WEST-3</t>
  </si>
  <si>
    <t>WEST-32</t>
  </si>
  <si>
    <t>WEST-24</t>
  </si>
  <si>
    <t>WEST-33</t>
  </si>
  <si>
    <t>WEST-35</t>
  </si>
  <si>
    <t>WEST-49</t>
  </si>
  <si>
    <t>WEST-29</t>
  </si>
  <si>
    <t>WEST-19</t>
  </si>
  <si>
    <t>WEST-20</t>
  </si>
  <si>
    <t>WEST-22</t>
  </si>
  <si>
    <t>WEST-38</t>
  </si>
  <si>
    <t>WEST-40</t>
  </si>
  <si>
    <t>Total Opportunities</t>
  </si>
  <si>
    <t>Lease Retention %</t>
  </si>
  <si>
    <t>%</t>
  </si>
  <si>
    <t>New 
Lease</t>
  </si>
  <si>
    <t>Total 
Retained</t>
  </si>
  <si>
    <t>In 
Progress</t>
  </si>
  <si>
    <t>Non 
Responsive</t>
  </si>
  <si>
    <t># Pending</t>
  </si>
  <si>
    <t>Month/Year</t>
  </si>
  <si>
    <t># Non-
Retained</t>
  </si>
  <si>
    <t xml:space="preserve">      &lt;-- Click to Select Month (next 180 days available for review)</t>
  </si>
  <si>
    <t>LEASE RETENTION: 
New Lease Only</t>
  </si>
  <si>
    <t>DEALERSHIP RETENTION: 
New Lease, New Purchase, Lease Buyout, 
Lease Extended</t>
  </si>
  <si>
    <t>PENDING: 
In Progress, 
Non-Responsive, 
Untouched</t>
  </si>
  <si>
    <t>NON-RETAINED: 
Lease Drop Off, 
Lost Business, 
PAG Referral</t>
  </si>
  <si>
    <t>Lease Performance by Month - Force Rank</t>
  </si>
  <si>
    <t>Market / Store</t>
  </si>
  <si>
    <t>WEST TOTAL</t>
  </si>
  <si>
    <t>Q1 Objective</t>
  </si>
  <si>
    <t>30-Day Lease Performance - Summary By Brand</t>
  </si>
  <si>
    <t>WEST-54</t>
  </si>
  <si>
    <t>Store</t>
  </si>
  <si>
    <t>Honda Leander</t>
  </si>
  <si>
    <t>Audi North OC</t>
  </si>
  <si>
    <t>Brand</t>
  </si>
  <si>
    <t>Market</t>
  </si>
  <si>
    <t>Disp</t>
  </si>
  <si>
    <t>M/B</t>
  </si>
  <si>
    <t>Lvl</t>
  </si>
  <si>
    <t>Count</t>
  </si>
  <si>
    <t>Arizona</t>
  </si>
  <si>
    <t>PAG WEST</t>
  </si>
  <si>
    <t>Southern California</t>
  </si>
  <si>
    <t>Northern California</t>
  </si>
  <si>
    <t>Orange County</t>
  </si>
  <si>
    <t>Texas</t>
  </si>
  <si>
    <t>Ferrari</t>
  </si>
  <si>
    <t>JLR</t>
  </si>
  <si>
    <t>Alpha</t>
  </si>
  <si>
    <t>BM-7</t>
  </si>
  <si>
    <t>MI-8</t>
  </si>
  <si>
    <t>AU-6</t>
  </si>
  <si>
    <t>HO-6</t>
  </si>
  <si>
    <t>Land Rover North Scottsdale</t>
  </si>
  <si>
    <t>Land Rover Chandler</t>
  </si>
  <si>
    <t>Capitol Acura</t>
  </si>
  <si>
    <t>Genesis of Round Rock</t>
  </si>
  <si>
    <t>GE</t>
  </si>
  <si>
    <t>Genesis</t>
  </si>
  <si>
    <t>GE-1</t>
  </si>
  <si>
    <t>BMW/MINI of Escondido</t>
  </si>
  <si>
    <t>No California</t>
  </si>
  <si>
    <t>So California</t>
  </si>
  <si>
    <t>Mercedes-Benz of North Scottsdale</t>
  </si>
  <si>
    <t>Land Rover</t>
  </si>
  <si>
    <t>Nov 2024</t>
  </si>
  <si>
    <t>Dec 2024</t>
  </si>
  <si>
    <t>-</t>
  </si>
  <si>
    <t>Audi San Jose</t>
  </si>
  <si>
    <t>Feb 2025</t>
  </si>
  <si>
    <t>Mar 2025</t>
  </si>
  <si>
    <t>Lamborghini North Scottsdale</t>
  </si>
  <si>
    <t>WEST-55</t>
  </si>
  <si>
    <t>WEST-56</t>
  </si>
  <si>
    <t>WEST-57</t>
  </si>
  <si>
    <t>WEST-58</t>
  </si>
  <si>
    <t>LA</t>
  </si>
  <si>
    <t>Lamborghini</t>
  </si>
  <si>
    <t>LA-1</t>
  </si>
  <si>
    <t>12/3/2024 @ 12:30pm</t>
  </si>
  <si>
    <t>Jan 2024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</si>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</sst>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i/>
      <sz val="13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3"/>
      <color rgb="FF333333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1"/>
    </font>
    <font>
      <b/>
      <i/>
      <u/>
      <sz val="10"/>
      <color theme="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rgb="FF3D84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7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56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2" fillId="3" borderId="0" xfId="0" applyFont="1" applyFill="1"/>
    <xf numFmtId="9" fontId="3" fillId="0" borderId="0" xfId="1" applyFont="1"/>
    <xf numFmtId="0" fontId="0" fillId="13" borderId="0" xfId="0" applyFill="1"/>
    <xf numFmtId="0" fontId="0" fillId="14" borderId="0" xfId="0" quotePrefix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4" borderId="5" xfId="0" applyFont="1" applyFill="1" applyBorder="1" applyAlignment="1">
      <alignment horizontal="center" vertical="center"/>
    </xf>
    <xf numFmtId="0" fontId="14" fillId="0" borderId="0" xfId="0" applyFont="1"/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9" fontId="17" fillId="0" borderId="2" xfId="1" applyFont="1" applyFill="1" applyBorder="1" applyAlignment="1">
      <alignment horizontal="center"/>
    </xf>
    <xf numFmtId="9" fontId="6" fillId="6" borderId="2" xfId="1" applyFont="1" applyFill="1" applyBorder="1" applyAlignment="1">
      <alignment horizontal="center"/>
    </xf>
    <xf numFmtId="1" fontId="6" fillId="6" borderId="0" xfId="1" applyNumberFormat="1" applyFont="1" applyFill="1" applyAlignment="1">
      <alignment horizontal="center"/>
    </xf>
    <xf numFmtId="0" fontId="17" fillId="17" borderId="0" xfId="0" applyFont="1" applyFill="1"/>
    <xf numFmtId="0" fontId="22" fillId="0" borderId="0" xfId="0" applyFont="1"/>
    <xf numFmtId="0" fontId="2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0" applyFont="1"/>
    <xf numFmtId="9" fontId="6" fillId="0" borderId="2" xfId="1" applyFont="1" applyFill="1" applyBorder="1" applyAlignment="1">
      <alignment horizontal="center"/>
    </xf>
    <xf numFmtId="0" fontId="8" fillId="4" borderId="0" xfId="0" applyFont="1" applyFill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9" fontId="8" fillId="4" borderId="2" xfId="1" applyFont="1" applyFill="1" applyBorder="1" applyAlignment="1">
      <alignment horizontal="center"/>
    </xf>
    <xf numFmtId="9" fontId="6" fillId="4" borderId="0" xfId="1" applyFont="1" applyFill="1" applyAlignment="1">
      <alignment horizontal="center"/>
    </xf>
    <xf numFmtId="9" fontId="8" fillId="4" borderId="0" xfId="1" applyFont="1" applyFill="1" applyAlignment="1">
      <alignment horizontal="center"/>
    </xf>
    <xf numFmtId="0" fontId="25" fillId="5" borderId="3" xfId="0" applyFont="1" applyFill="1" applyBorder="1" applyAlignment="1">
      <alignment horizontal="right" vertical="center"/>
    </xf>
    <xf numFmtId="1" fontId="25" fillId="5" borderId="3" xfId="0" applyNumberFormat="1" applyFont="1" applyFill="1" applyBorder="1" applyAlignment="1">
      <alignment horizontal="center" vertical="center"/>
    </xf>
    <xf numFmtId="9" fontId="26" fillId="0" borderId="4" xfId="1" applyFont="1" applyFill="1" applyBorder="1" applyAlignment="1">
      <alignment horizontal="center" vertical="center"/>
    </xf>
    <xf numFmtId="9" fontId="26" fillId="4" borderId="4" xfId="1" applyFont="1" applyFill="1" applyBorder="1" applyAlignment="1">
      <alignment horizontal="center" vertical="center"/>
    </xf>
    <xf numFmtId="0" fontId="19" fillId="0" borderId="0" xfId="0" applyFont="1"/>
    <xf numFmtId="9" fontId="25" fillId="4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9" fontId="17" fillId="15" borderId="2" xfId="1" applyFont="1" applyFill="1" applyBorder="1" applyAlignment="1">
      <alignment horizont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9" fontId="19" fillId="4" borderId="2" xfId="1" applyFont="1" applyFill="1" applyBorder="1" applyAlignment="1">
      <alignment horizontal="center" vertical="center"/>
    </xf>
    <xf numFmtId="9" fontId="18" fillId="4" borderId="0" xfId="1" applyFont="1" applyFill="1" applyBorder="1" applyAlignment="1">
      <alignment horizontal="center" vertical="center"/>
    </xf>
    <xf numFmtId="0" fontId="27" fillId="0" borderId="0" xfId="0" applyFont="1"/>
    <xf numFmtId="0" fontId="28" fillId="6" borderId="0" xfId="0" applyFont="1" applyFill="1"/>
    <xf numFmtId="0" fontId="27" fillId="6" borderId="0" xfId="0" applyFont="1" applyFill="1"/>
    <xf numFmtId="164" fontId="29" fillId="6" borderId="0" xfId="0" applyNumberFormat="1" applyFont="1" applyFill="1" applyAlignment="1">
      <alignment vertical="top" wrapText="1"/>
    </xf>
    <xf numFmtId="164" fontId="29" fillId="6" borderId="0" xfId="0" applyNumberFormat="1" applyFont="1" applyFill="1" applyAlignment="1">
      <alignment horizontal="left" vertical="top" wrapText="1"/>
    </xf>
    <xf numFmtId="0" fontId="28" fillId="6" borderId="0" xfId="0" quotePrefix="1" applyFont="1" applyFill="1" applyAlignment="1">
      <alignment horizontal="left"/>
    </xf>
    <xf numFmtId="0" fontId="27" fillId="6" borderId="0" xfId="0" applyFont="1" applyFill="1" applyAlignment="1">
      <alignment horizontal="left"/>
    </xf>
    <xf numFmtId="0" fontId="28" fillId="6" borderId="0" xfId="0" applyFont="1" applyFill="1" applyAlignment="1">
      <alignment horizontal="left"/>
    </xf>
    <xf numFmtId="0" fontId="28" fillId="6" borderId="0" xfId="0" applyFont="1" applyFill="1" applyAlignment="1">
      <alignment vertical="center"/>
    </xf>
    <xf numFmtId="0" fontId="27" fillId="6" borderId="0" xfId="0" applyFont="1" applyFill="1" applyAlignment="1">
      <alignment horizontal="left" vertical="center"/>
    </xf>
    <xf numFmtId="0" fontId="27" fillId="6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1" fontId="28" fillId="6" borderId="0" xfId="0" applyNumberFormat="1" applyFont="1" applyFill="1"/>
    <xf numFmtId="1" fontId="28" fillId="6" borderId="0" xfId="0" applyNumberFormat="1" applyFont="1" applyFill="1" applyAlignment="1">
      <alignment horizontal="left"/>
    </xf>
    <xf numFmtId="1" fontId="27" fillId="6" borderId="0" xfId="0" applyNumberFormat="1" applyFont="1" applyFill="1"/>
    <xf numFmtId="1" fontId="27" fillId="0" borderId="0" xfId="0" applyNumberFormat="1" applyFont="1"/>
    <xf numFmtId="0" fontId="1" fillId="0" borderId="0" xfId="4"/>
    <xf numFmtId="0" fontId="10" fillId="15" borderId="6" xfId="0" applyFont="1" applyFill="1" applyBorder="1" applyAlignment="1" applyProtection="1">
      <alignment horizontal="center" vertical="center"/>
      <protection locked="0"/>
    </xf>
    <xf numFmtId="0" fontId="10" fillId="15" borderId="7" xfId="0" applyFont="1" applyFill="1" applyBorder="1" applyAlignment="1" applyProtection="1">
      <alignment horizontal="center" vertical="center"/>
      <protection locked="0"/>
    </xf>
    <xf numFmtId="0" fontId="11" fillId="16" borderId="8" xfId="0" applyFont="1" applyFill="1" applyBorder="1" applyAlignment="1">
      <alignment horizontal="left" vertical="center"/>
    </xf>
    <xf numFmtId="0" fontId="11" fillId="16" borderId="0" xfId="0" applyFont="1" applyFill="1" applyAlignment="1">
      <alignment horizontal="left" vertical="center"/>
    </xf>
    <xf numFmtId="49" fontId="20" fillId="7" borderId="0" xfId="0" applyNumberFormat="1" applyFont="1" applyFill="1" applyAlignment="1">
      <alignment horizontal="center" vertical="center" wrapText="1"/>
    </xf>
    <xf numFmtId="49" fontId="20" fillId="7" borderId="0" xfId="0" applyNumberFormat="1" applyFont="1" applyFill="1" applyAlignment="1">
      <alignment horizontal="center" vertical="center"/>
    </xf>
    <xf numFmtId="49" fontId="20" fillId="8" borderId="1" xfId="0" applyNumberFormat="1" applyFont="1" applyFill="1" applyBorder="1" applyAlignment="1">
      <alignment horizontal="center" vertical="center" wrapText="1"/>
    </xf>
    <xf numFmtId="49" fontId="20" fillId="8" borderId="0" xfId="0" applyNumberFormat="1" applyFont="1" applyFill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9" fontId="14" fillId="6" borderId="1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49" fontId="20" fillId="8" borderId="2" xfId="0" applyNumberFormat="1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quotePrefix="1" applyFont="1" applyFill="1" applyAlignment="1">
      <alignment horizontal="center"/>
    </xf>
  </cellXfs>
  <cellStyles count="5">
    <cellStyle name="Normal" xfId="0" builtinId="0"/>
    <cellStyle name="Normal 4" xfId="3" xr:uid="{DDDBA28F-D5A7-4CCD-A8C2-52FC872D984F}"/>
    <cellStyle name="Normal 7" xfId="2" xr:uid="{C632BBBB-B0E2-4778-AE3F-C12158A5DEB1}"/>
    <cellStyle name="Normal 9" xfId="4" xr:uid="{26301356-60C6-4EC2-B714-C1C5CDD33F1E}"/>
    <cellStyle name="Percent" xfId="1" builtinId="5"/>
  </cellStyles>
  <dxfs count="75">
    <dxf>
      <fill>
        <patternFill>
          <bgColor rgb="FFFFFF00"/>
        </patternFill>
      </fill>
    </dxf>
    <dxf>
      <fill>
        <patternFill>
          <bgColor rgb="FFFF333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4EAAFF"/>
      <color rgb="FFFF6568"/>
      <color rgb="FF3D84C6"/>
      <color rgb="FFFF3336"/>
      <color rgb="FFFFFFCC"/>
      <color rgb="FFFFFFB1"/>
      <color rgb="FFFFFF7F"/>
      <color rgb="FFFF191D"/>
      <color rgb="FFFF7F82"/>
      <color rgb="FF71A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D933E-0A08-6840-B8BC-8130235B82EE}">
  <sheetPr>
    <pageSetUpPr fitToPage="1"/>
  </sheetPr>
  <dimension ref="B1:AC72"/>
  <sheetViews>
    <sheetView showGridLines="0" tabSelected="1" workbookViewId="0">
      <selection activeCell="F4" sqref="F4:H4"/>
    </sheetView>
  </sheetViews>
  <sheetFormatPr baseColWidth="10" defaultColWidth="8.83203125" defaultRowHeight="14" x14ac:dyDescent="0.15"/>
  <cols>
    <col min="1" max="1" width="2.83203125" style="6" customWidth="1"/>
    <col min="2" max="3" width="8.83203125" style="6" hidden="1" customWidth="1"/>
    <col min="4" max="4" width="19.33203125" style="6" hidden="1" customWidth="1"/>
    <col min="5" max="5" width="36.83203125" style="6" customWidth="1"/>
    <col min="6" max="10" width="13.33203125" style="6" customWidth="1"/>
    <col min="11" max="13" width="12.83203125" style="6" hidden="1" customWidth="1"/>
    <col min="14" max="17" width="12.83203125" style="6" customWidth="1"/>
    <col min="18" max="28" width="8.83203125" style="6"/>
    <col min="29" max="29" width="20.83203125" style="6" hidden="1" customWidth="1"/>
    <col min="30" max="30" width="8.83203125" style="6"/>
    <col min="31" max="31" width="8.83203125" style="6" customWidth="1"/>
    <col min="32" max="16384" width="8.83203125" style="6"/>
  </cols>
  <sheetData>
    <row r="1" spans="2:29" ht="14" customHeight="1" x14ac:dyDescent="0.15">
      <c r="B1" s="8"/>
    </row>
    <row r="2" spans="2:29" ht="25" x14ac:dyDescent="0.25">
      <c r="E2" s="7" t="s">
        <v>232</v>
      </c>
    </row>
    <row r="3" spans="2:29" ht="14" customHeight="1" thickBot="1" x14ac:dyDescent="0.2">
      <c r="B3" s="8"/>
    </row>
    <row r="4" spans="2:29" ht="28" customHeight="1" thickBot="1" x14ac:dyDescent="0.2">
      <c r="E4" s="9" t="s">
        <v>225</v>
      </c>
      <c r="F4" s="65" t="s">
        <v>272</v>
      </c>
      <c r="G4" s="65"/>
      <c r="H4" s="66"/>
      <c r="I4" s="67" t="s">
        <v>227</v>
      </c>
      <c r="J4" s="68"/>
      <c r="K4" s="68"/>
      <c r="L4" s="68"/>
      <c r="M4" s="68"/>
      <c r="N4" s="68"/>
      <c r="O4" s="68"/>
      <c r="P4" s="68"/>
      <c r="Q4" s="68"/>
    </row>
    <row r="5" spans="2:29" ht="18" customHeight="1" x14ac:dyDescent="0.15"/>
    <row r="6" spans="2:29" s="10" customFormat="1" ht="80" customHeight="1" x14ac:dyDescent="0.2">
      <c r="B6" s="6"/>
      <c r="C6" s="6"/>
      <c r="D6" s="6"/>
      <c r="E6" s="77" t="str">
        <f>"(Data pulled "&amp;WORKSHEET!V1&amp;")"</f>
        <v>(Data pulled 12/3/2024 @ 12:30pm)</v>
      </c>
      <c r="F6" s="77"/>
      <c r="G6" s="69" t="s">
        <v>228</v>
      </c>
      <c r="H6" s="70"/>
      <c r="I6" s="71" t="s">
        <v>229</v>
      </c>
      <c r="J6" s="72"/>
      <c r="K6" s="73" t="s">
        <v>230</v>
      </c>
      <c r="L6" s="74"/>
      <c r="M6" s="74"/>
      <c r="N6" s="74"/>
      <c r="O6" s="74"/>
      <c r="P6" s="75" t="s">
        <v>231</v>
      </c>
      <c r="Q6" s="76"/>
      <c r="AC6" s="6" t="str">
        <f>WORKSHEET!AB1</f>
        <v>Apr 2025</v>
      </c>
    </row>
    <row r="7" spans="2:29" s="10" customFormat="1" ht="32" customHeight="1" x14ac:dyDescent="0.2">
      <c r="B7" s="6" t="str">
        <f>F4</f>
        <v>Nov 2024</v>
      </c>
      <c r="C7" s="6"/>
      <c r="D7" s="6"/>
      <c r="E7" s="11" t="s">
        <v>233</v>
      </c>
      <c r="F7" s="12" t="s">
        <v>217</v>
      </c>
      <c r="G7" s="13" t="s">
        <v>220</v>
      </c>
      <c r="H7" s="14" t="s">
        <v>219</v>
      </c>
      <c r="I7" s="15" t="s">
        <v>221</v>
      </c>
      <c r="J7" s="14" t="s">
        <v>219</v>
      </c>
      <c r="K7" s="13" t="s">
        <v>222</v>
      </c>
      <c r="L7" s="15" t="s">
        <v>223</v>
      </c>
      <c r="M7" s="15" t="s">
        <v>6</v>
      </c>
      <c r="N7" s="15" t="s">
        <v>224</v>
      </c>
      <c r="O7" s="16" t="s">
        <v>219</v>
      </c>
      <c r="P7" s="12" t="s">
        <v>226</v>
      </c>
      <c r="Q7" s="17" t="s">
        <v>219</v>
      </c>
      <c r="AC7" s="6" t="str">
        <f>WORKSHEET!AA1</f>
        <v>Mar 2025</v>
      </c>
    </row>
    <row r="8" spans="2:29" s="10" customFormat="1" ht="18" customHeight="1" x14ac:dyDescent="0.2">
      <c r="B8" s="6" t="str">
        <f>B7</f>
        <v>Nov 2024</v>
      </c>
      <c r="C8" s="6" t="s">
        <v>159</v>
      </c>
      <c r="D8" s="6" t="str">
        <f>B8&amp;"-"&amp;C8</f>
        <v>Nov 2024-RGN-1</v>
      </c>
      <c r="E8" s="18" t="str">
        <f ca="1">VLOOKUP(D8,WORKSHEET!$J$4:$AM$396,13,FALSE)</f>
        <v>Texas</v>
      </c>
      <c r="F8" s="19">
        <f ca="1">VLOOKUP(D8,WORKSHEET!$J$4:$AM$396,14,FALSE)</f>
        <v>150</v>
      </c>
      <c r="G8" s="20">
        <f ca="1">VLOOKUP(D8,WORKSHEET!$J$4:$AM$396,15,FALSE)</f>
        <v>58</v>
      </c>
      <c r="H8" s="43">
        <f t="shared" ref="H8:H13" ca="1" si="0">IFERROR(G8/F8,0)</f>
        <v>0.38666666666666666</v>
      </c>
      <c r="I8" s="19">
        <f ca="1">VLOOKUP(D8,WORKSHEET!$J$4:$AM$396,21,FALSE)</f>
        <v>108</v>
      </c>
      <c r="J8" s="43">
        <f t="shared" ref="J8:J13" ca="1" si="1">IFERROR(I8/F8,0)</f>
        <v>0.72</v>
      </c>
      <c r="K8" s="20">
        <f ca="1">VLOOKUP(D8,WORKSHEET!$J$4:$AM$396,23,FALSE)</f>
        <v>3</v>
      </c>
      <c r="L8" s="19">
        <f ca="1">VLOOKUP(D8,WORKSHEET!$J$4:$AM$396,24,FALSE)</f>
        <v>1</v>
      </c>
      <c r="M8" s="19">
        <f ca="1">VLOOKUP(D8,WORKSHEET!$J$4:$AM$396,25,FALSE)</f>
        <v>0</v>
      </c>
      <c r="N8" s="19">
        <f ca="1">SUM(K8:M8)</f>
        <v>4</v>
      </c>
      <c r="O8" s="22">
        <f t="shared" ref="O8:O13" ca="1" si="2">IFERROR(SUM(K8:M8)/F8,0)</f>
        <v>2.6666666666666668E-2</v>
      </c>
      <c r="P8" s="23">
        <f ca="1">VLOOKUP(D8,WORKSHEET!$J$4:$AM$396,27,FALSE)+VLOOKUP(D8,WORKSHEET!$J$4:$AM$396,28,FALSE)+VLOOKUP(D8,WORKSHEET!$J$4:$AM$396,29,FALSE)</f>
        <v>38</v>
      </c>
      <c r="Q8" s="22">
        <f t="shared" ref="Q8:Q13" ca="1" si="3">IFERROR(P8/F8,0)</f>
        <v>0.25333333333333335</v>
      </c>
      <c r="AC8" s="6" t="str">
        <f>WORKSHEET!Z1</f>
        <v>Feb 2025</v>
      </c>
    </row>
    <row r="9" spans="2:29" s="10" customFormat="1" ht="18" customHeight="1" x14ac:dyDescent="0.2">
      <c r="B9" s="6" t="str">
        <f t="shared" ref="B9:B13" si="4">B8</f>
        <v>Nov 2024</v>
      </c>
      <c r="C9" s="6" t="s">
        <v>160</v>
      </c>
      <c r="D9" s="6" t="str">
        <f t="shared" ref="D9:D12" si="5">B9&amp;"-"&amp;C9</f>
        <v>Nov 2024-RGN-2</v>
      </c>
      <c r="E9" s="18" t="str">
        <f ca="1">VLOOKUP(D9,WORKSHEET!$J$4:$AM$396,13,FALSE)</f>
        <v>So California</v>
      </c>
      <c r="F9" s="19">
        <f ca="1">VLOOKUP(D9,WORKSHEET!$J$4:$AM$396,14,FALSE)</f>
        <v>231</v>
      </c>
      <c r="G9" s="20">
        <f ca="1">VLOOKUP(D9,WORKSHEET!$J$4:$AM$396,15,FALSE)</f>
        <v>79</v>
      </c>
      <c r="H9" s="43">
        <f t="shared" ca="1" si="0"/>
        <v>0.34199134199134201</v>
      </c>
      <c r="I9" s="19">
        <f ca="1">VLOOKUP(D9,WORKSHEET!$J$4:$AM$396,21,FALSE)</f>
        <v>145</v>
      </c>
      <c r="J9" s="43">
        <f t="shared" ca="1" si="1"/>
        <v>0.62770562770562766</v>
      </c>
      <c r="K9" s="20">
        <f ca="1">VLOOKUP(D9,WORKSHEET!$J$4:$AM$396,23,FALSE)</f>
        <v>26</v>
      </c>
      <c r="L9" s="19">
        <f ca="1">VLOOKUP(D9,WORKSHEET!$J$4:$AM$396,24,FALSE)</f>
        <v>5</v>
      </c>
      <c r="M9" s="19">
        <f ca="1">VLOOKUP(D9,WORKSHEET!$J$4:$AM$396,25,FALSE)</f>
        <v>11</v>
      </c>
      <c r="N9" s="19">
        <f t="shared" ref="N9:N11" ca="1" si="6">SUM(K9:M9)</f>
        <v>42</v>
      </c>
      <c r="O9" s="22">
        <f t="shared" ca="1" si="2"/>
        <v>0.18181818181818182</v>
      </c>
      <c r="P9" s="23">
        <f ca="1">VLOOKUP(D9,WORKSHEET!$J$4:$AM$396,27,FALSE)+VLOOKUP(D9,WORKSHEET!$J$4:$AM$396,28,FALSE)+VLOOKUP(D9,WORKSHEET!$J$4:$AM$396,29,FALSE)</f>
        <v>44</v>
      </c>
      <c r="Q9" s="22">
        <f t="shared" ca="1" si="3"/>
        <v>0.19047619047619047</v>
      </c>
      <c r="AC9" s="6" t="str">
        <f>WORKSHEET!Y1</f>
        <v>Jan 2024</v>
      </c>
    </row>
    <row r="10" spans="2:29" s="10" customFormat="1" ht="18" customHeight="1" x14ac:dyDescent="0.2">
      <c r="B10" s="6" t="str">
        <f t="shared" si="4"/>
        <v>Nov 2024</v>
      </c>
      <c r="C10" s="6" t="s">
        <v>161</v>
      </c>
      <c r="D10" s="6" t="str">
        <f t="shared" si="5"/>
        <v>Nov 2024-RGN-3</v>
      </c>
      <c r="E10" s="18" t="str">
        <f ca="1">VLOOKUP(D10,WORKSHEET!$J$4:$AM$396,13,FALSE)</f>
        <v>Orange County</v>
      </c>
      <c r="F10" s="19">
        <f ca="1">VLOOKUP(D10,WORKSHEET!$J$4:$AM$396,14,FALSE)</f>
        <v>267</v>
      </c>
      <c r="G10" s="20">
        <f ca="1">VLOOKUP(D10,WORKSHEET!$J$4:$AM$396,15,FALSE)</f>
        <v>87</v>
      </c>
      <c r="H10" s="43">
        <f t="shared" ca="1" si="0"/>
        <v>0.3258426966292135</v>
      </c>
      <c r="I10" s="19">
        <f ca="1">VLOOKUP(D10,WORKSHEET!$J$4:$AM$396,21,FALSE)</f>
        <v>163</v>
      </c>
      <c r="J10" s="43">
        <f t="shared" ca="1" si="1"/>
        <v>0.61048689138576784</v>
      </c>
      <c r="K10" s="20">
        <f ca="1">VLOOKUP(D10,WORKSHEET!$J$4:$AM$396,23,FALSE)</f>
        <v>0</v>
      </c>
      <c r="L10" s="19">
        <f ca="1">VLOOKUP(D10,WORKSHEET!$J$4:$AM$396,24,FALSE)</f>
        <v>3</v>
      </c>
      <c r="M10" s="19">
        <f ca="1">VLOOKUP(D10,WORKSHEET!$J$4:$AM$396,25,FALSE)</f>
        <v>0</v>
      </c>
      <c r="N10" s="19">
        <f t="shared" ca="1" si="6"/>
        <v>3</v>
      </c>
      <c r="O10" s="22">
        <f t="shared" ca="1" si="2"/>
        <v>1.1235955056179775E-2</v>
      </c>
      <c r="P10" s="23">
        <f ca="1">VLOOKUP(D10,WORKSHEET!$J$4:$AM$396,27,FALSE)+VLOOKUP(D10,WORKSHEET!$J$4:$AM$396,28,FALSE)+VLOOKUP(D10,WORKSHEET!$J$4:$AM$396,29,FALSE)</f>
        <v>101</v>
      </c>
      <c r="Q10" s="22">
        <f t="shared" ca="1" si="3"/>
        <v>0.37827715355805241</v>
      </c>
      <c r="AC10" s="6" t="str">
        <f>WORKSHEET!X1</f>
        <v>Dec 2024</v>
      </c>
    </row>
    <row r="11" spans="2:29" s="10" customFormat="1" ht="18" customHeight="1" x14ac:dyDescent="0.2">
      <c r="B11" s="6" t="str">
        <f t="shared" si="4"/>
        <v>Nov 2024</v>
      </c>
      <c r="C11" s="6" t="s">
        <v>162</v>
      </c>
      <c r="D11" s="6" t="str">
        <f t="shared" si="5"/>
        <v>Nov 2024-RGN-4</v>
      </c>
      <c r="E11" s="18" t="str">
        <f ca="1">VLOOKUP(D11,WORKSHEET!$J$4:$AM$396,13,FALSE)</f>
        <v>No California</v>
      </c>
      <c r="F11" s="19">
        <f ca="1">VLOOKUP(D11,WORKSHEET!$J$4:$AM$396,14,FALSE)</f>
        <v>168</v>
      </c>
      <c r="G11" s="20">
        <f ca="1">VLOOKUP(D11,WORKSHEET!$J$4:$AM$396,15,FALSE)</f>
        <v>51</v>
      </c>
      <c r="H11" s="43">
        <f t="shared" ca="1" si="0"/>
        <v>0.30357142857142855</v>
      </c>
      <c r="I11" s="19">
        <f ca="1">VLOOKUP(D11,WORKSHEET!$J$4:$AM$396,21,FALSE)</f>
        <v>119</v>
      </c>
      <c r="J11" s="43">
        <f t="shared" ca="1" si="1"/>
        <v>0.70833333333333337</v>
      </c>
      <c r="K11" s="20">
        <f ca="1">VLOOKUP(D11,WORKSHEET!$J$4:$AM$396,23,FALSE)</f>
        <v>16</v>
      </c>
      <c r="L11" s="19">
        <f ca="1">VLOOKUP(D11,WORKSHEET!$J$4:$AM$396,24,FALSE)</f>
        <v>0</v>
      </c>
      <c r="M11" s="19">
        <f ca="1">VLOOKUP(D11,WORKSHEET!$J$4:$AM$396,25,FALSE)</f>
        <v>0</v>
      </c>
      <c r="N11" s="19">
        <f t="shared" ca="1" si="6"/>
        <v>16</v>
      </c>
      <c r="O11" s="22">
        <f t="shared" ca="1" si="2"/>
        <v>9.5238095238095233E-2</v>
      </c>
      <c r="P11" s="23">
        <f ca="1">VLOOKUP(D11,WORKSHEET!$J$4:$AM$396,27,FALSE)+VLOOKUP(D11,WORKSHEET!$J$4:$AM$396,28,FALSE)+VLOOKUP(D11,WORKSHEET!$J$4:$AM$396,29,FALSE)</f>
        <v>33</v>
      </c>
      <c r="Q11" s="22">
        <f t="shared" ca="1" si="3"/>
        <v>0.19642857142857142</v>
      </c>
      <c r="AC11" s="6" t="str">
        <f>WORKSHEET!W1</f>
        <v>Nov 2024</v>
      </c>
    </row>
    <row r="12" spans="2:29" s="10" customFormat="1" ht="18" customHeight="1" x14ac:dyDescent="0.2">
      <c r="B12" s="6" t="str">
        <f t="shared" si="4"/>
        <v>Nov 2024</v>
      </c>
      <c r="C12" s="6" t="s">
        <v>163</v>
      </c>
      <c r="D12" s="6" t="str">
        <f t="shared" si="5"/>
        <v>Nov 2024-RGN-5</v>
      </c>
      <c r="E12" s="18" t="str">
        <f ca="1">VLOOKUP(D12,WORKSHEET!$J$4:$AM$396,13,FALSE)</f>
        <v>Arizona</v>
      </c>
      <c r="F12" s="19">
        <f ca="1">VLOOKUP(D12,WORKSHEET!$J$4:$AM$396,14,FALSE)</f>
        <v>206</v>
      </c>
      <c r="G12" s="20">
        <f ca="1">VLOOKUP(D12,WORKSHEET!$J$4:$AM$396,15,FALSE)</f>
        <v>55</v>
      </c>
      <c r="H12" s="43">
        <f t="shared" ref="H12" ca="1" si="7">IFERROR(G12/F12,0)</f>
        <v>0.26699029126213591</v>
      </c>
      <c r="I12" s="19">
        <f ca="1">VLOOKUP(D12,WORKSHEET!$J$4:$AM$396,21,FALSE)</f>
        <v>115</v>
      </c>
      <c r="J12" s="43">
        <f t="shared" ref="J12" ca="1" si="8">IFERROR(I12/F12,0)</f>
        <v>0.55825242718446599</v>
      </c>
      <c r="K12" s="20">
        <f ca="1">VLOOKUP(D12,WORKSHEET!$J$4:$AM$396,23,FALSE)</f>
        <v>6</v>
      </c>
      <c r="L12" s="19">
        <f ca="1">VLOOKUP(D12,WORKSHEET!$J$4:$AM$396,24,FALSE)</f>
        <v>5</v>
      </c>
      <c r="M12" s="19">
        <f ca="1">VLOOKUP(D12,WORKSHEET!$J$4:$AM$396,25,FALSE)</f>
        <v>8</v>
      </c>
      <c r="N12" s="19">
        <f t="shared" ref="N12" ca="1" si="9">SUM(K12:M12)</f>
        <v>19</v>
      </c>
      <c r="O12" s="22">
        <f t="shared" ref="O12" ca="1" si="10">IFERROR(SUM(K12:M12)/F12,0)</f>
        <v>9.2233009708737865E-2</v>
      </c>
      <c r="P12" s="23">
        <f ca="1">VLOOKUP(D12,WORKSHEET!$J$4:$AM$396,27,FALSE)+VLOOKUP(D12,WORKSHEET!$J$4:$AM$396,28,FALSE)+VLOOKUP(D12,WORKSHEET!$J$4:$AM$396,29,FALSE)</f>
        <v>72</v>
      </c>
      <c r="Q12" s="22">
        <f t="shared" ref="Q12" ca="1" si="11">IFERROR(P12/F12,0)</f>
        <v>0.34951456310679613</v>
      </c>
    </row>
    <row r="13" spans="2:29" s="10" customFormat="1" ht="20" customHeight="1" x14ac:dyDescent="0.2">
      <c r="B13" s="6" t="str">
        <f t="shared" si="4"/>
        <v>Nov 2024</v>
      </c>
      <c r="C13" s="6"/>
      <c r="D13" s="6"/>
      <c r="E13" s="44" t="s">
        <v>234</v>
      </c>
      <c r="F13" s="45">
        <f ca="1">SUM(F8:F12)</f>
        <v>1022</v>
      </c>
      <c r="G13" s="45">
        <f ca="1">SUM(G8:G12)</f>
        <v>330</v>
      </c>
      <c r="H13" s="46">
        <f t="shared" ca="1" si="0"/>
        <v>0.32289628180039137</v>
      </c>
      <c r="I13" s="45">
        <f ca="1">SUM(I8:I12)</f>
        <v>650</v>
      </c>
      <c r="J13" s="46">
        <f t="shared" ca="1" si="1"/>
        <v>0.63600782778864973</v>
      </c>
      <c r="K13" s="45">
        <f ca="1">SUM(K8:K12)</f>
        <v>51</v>
      </c>
      <c r="L13" s="45">
        <f ca="1">SUM(L8:L12)</f>
        <v>14</v>
      </c>
      <c r="M13" s="45">
        <f ca="1">SUM(M8:M12)</f>
        <v>19</v>
      </c>
      <c r="N13" s="45">
        <f ca="1">SUM(N8:N12)</f>
        <v>84</v>
      </c>
      <c r="O13" s="47">
        <f t="shared" ca="1" si="2"/>
        <v>8.2191780821917804E-2</v>
      </c>
      <c r="P13" s="45">
        <f ca="1">SUM(P8:P12)</f>
        <v>288</v>
      </c>
      <c r="Q13" s="47">
        <f t="shared" ca="1" si="3"/>
        <v>0.28180039138943247</v>
      </c>
    </row>
    <row r="14" spans="2:29" ht="6" customHeight="1" x14ac:dyDescent="0.2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2:29" ht="17" customHeight="1" x14ac:dyDescent="0.2">
      <c r="B15" s="6" t="str">
        <f>B7</f>
        <v>Nov 2024</v>
      </c>
      <c r="C15" s="6" t="s">
        <v>202</v>
      </c>
      <c r="D15" s="6" t="str">
        <f>B15&amp;"-"&amp;C15</f>
        <v>Nov 2024-WEST-1</v>
      </c>
      <c r="E15" s="18" t="str">
        <f>IFERROR(VLOOKUP(D15,WORKSHEET!$J$4:$AM$396,13,FALSE),"")</f>
        <v>Land Rover North Scottsdale</v>
      </c>
      <c r="F15" s="19">
        <f>IF($E15="","",VLOOKUP(D15,WORKSHEET!$J$4:$AM$396,14,FALSE))</f>
        <v>1</v>
      </c>
      <c r="G15" s="20">
        <f>IF($E15="","",VLOOKUP(D15,WORKSHEET!$J$4:$AM$396,15,FALSE))</f>
        <v>1</v>
      </c>
      <c r="H15" s="21">
        <f>IF($E15="","",IFERROR(G15/F15,0))</f>
        <v>1</v>
      </c>
      <c r="I15" s="19">
        <f>IF($E15="","",VLOOKUP(D15,WORKSHEET!$J$4:$AM$396,21,FALSE))</f>
        <v>1</v>
      </c>
      <c r="J15" s="21">
        <f>IF($E15="","",IFERROR(I15/F15,0))</f>
        <v>1</v>
      </c>
      <c r="K15" s="20">
        <f>IF($E15="","",VLOOKUP(D15,WORKSHEET!$J$4:$AM$396,23,FALSE))</f>
        <v>0</v>
      </c>
      <c r="L15" s="19">
        <f>IF($E15="","",VLOOKUP(D15,WORKSHEET!$J$4:$AM$396,24,FALSE))</f>
        <v>0</v>
      </c>
      <c r="M15" s="19">
        <f>IF($E15="","",VLOOKUP(D15,WORKSHEET!$J$4:$AM$396,25,FALSE))</f>
        <v>0</v>
      </c>
      <c r="N15" s="19">
        <f>IF($E15="","",SUM(K15:M15))</f>
        <v>0</v>
      </c>
      <c r="O15" s="22">
        <f>IF($E15="","",IFERROR(SUM(K15:M15)/F15,0))</f>
        <v>0</v>
      </c>
      <c r="P15" s="23">
        <f>IF($E15="","",VLOOKUP(D15,WORKSHEET!$J$4:$AM$396,27,FALSE)+VLOOKUP(D15,WORKSHEET!$J$4:$AM$396,28,FALSE)+VLOOKUP(D15,WORKSHEET!$J$4:$AM$396,29,FALSE))</f>
        <v>0</v>
      </c>
      <c r="Q15" s="22">
        <f>IF($E15="","",IFERROR(P15/F15,0))</f>
        <v>0</v>
      </c>
    </row>
    <row r="16" spans="2:29" ht="17" customHeight="1" x14ac:dyDescent="0.2">
      <c r="B16" s="6" t="str">
        <f t="shared" ref="B16:B72" si="12">B15</f>
        <v>Nov 2024</v>
      </c>
      <c r="C16" s="6" t="s">
        <v>187</v>
      </c>
      <c r="D16" s="6" t="str">
        <f t="shared" ref="D16:D67" si="13">B16&amp;"-"&amp;C16</f>
        <v>Nov 2024-WEST-2</v>
      </c>
      <c r="E16" s="18" t="str">
        <f>IFERROR(VLOOKUP(D16,WORKSHEET!$J$4:$AM$396,13,FALSE),"")</f>
        <v>Lexus of Austin</v>
      </c>
      <c r="F16" s="19">
        <f>IF($E16="","",VLOOKUP(D16,WORKSHEET!$J$4:$AM$396,14,FALSE))</f>
        <v>14</v>
      </c>
      <c r="G16" s="20">
        <f>IF($E16="","",VLOOKUP(D16,WORKSHEET!$J$4:$AM$396,15,FALSE))</f>
        <v>11</v>
      </c>
      <c r="H16" s="21">
        <f t="shared" ref="H16:H66" si="14">IF($E16="","",IFERROR(G16/F16,0))</f>
        <v>0.7857142857142857</v>
      </c>
      <c r="I16" s="19">
        <f>IF($E16="","",VLOOKUP(D16,WORKSHEET!$J$4:$AM$396,21,FALSE))</f>
        <v>12</v>
      </c>
      <c r="J16" s="21">
        <f t="shared" ref="J16:J66" si="15">IF($E16="","",IFERROR(I16/F16,0))</f>
        <v>0.8571428571428571</v>
      </c>
      <c r="K16" s="20">
        <f>IF($E16="","",VLOOKUP(D16,WORKSHEET!$J$4:$AM$396,23,FALSE))</f>
        <v>0</v>
      </c>
      <c r="L16" s="19">
        <f>IF($E16="","",VLOOKUP(D16,WORKSHEET!$J$4:$AM$396,24,FALSE))</f>
        <v>0</v>
      </c>
      <c r="M16" s="19">
        <f>IF($E16="","",VLOOKUP(D16,WORKSHEET!$J$4:$AM$396,25,FALSE))</f>
        <v>0</v>
      </c>
      <c r="N16" s="19">
        <f t="shared" ref="N16:N66" si="16">IF($E16="","",SUM(K16:M16))</f>
        <v>0</v>
      </c>
      <c r="O16" s="22">
        <f t="shared" ref="O16:O66" si="17">IF($E16="","",IFERROR(SUM(K16:M16)/F16,0))</f>
        <v>0</v>
      </c>
      <c r="P16" s="23">
        <f>IF($E16="","",VLOOKUP(D16,WORKSHEET!$J$4:$AM$396,27,FALSE)+VLOOKUP(D16,WORKSHEET!$J$4:$AM$396,28,FALSE)+VLOOKUP(D16,WORKSHEET!$J$4:$AM$396,29,FALSE))</f>
        <v>2</v>
      </c>
      <c r="Q16" s="22">
        <f t="shared" ref="Q16:Q66" si="18">IF($E16="","",IFERROR(P16/F16,0))</f>
        <v>0.14285714285714285</v>
      </c>
    </row>
    <row r="17" spans="2:17" ht="17" customHeight="1" x14ac:dyDescent="0.2">
      <c r="B17" s="6" t="str">
        <f t="shared" si="12"/>
        <v>Nov 2024</v>
      </c>
      <c r="C17" s="6" t="s">
        <v>205</v>
      </c>
      <c r="D17" s="6" t="str">
        <f t="shared" si="13"/>
        <v>Nov 2024-WEST-3</v>
      </c>
      <c r="E17" s="18" t="str">
        <f>IFERROR(VLOOKUP(D17,WORKSHEET!$J$4:$AM$396,13,FALSE),"")</f>
        <v>Audi Escondido</v>
      </c>
      <c r="F17" s="19">
        <f>IF($E17="","",VLOOKUP(D17,WORKSHEET!$J$4:$AM$396,14,FALSE))</f>
        <v>14</v>
      </c>
      <c r="G17" s="20">
        <f>IF($E17="","",VLOOKUP(D17,WORKSHEET!$J$4:$AM$396,15,FALSE))</f>
        <v>9</v>
      </c>
      <c r="H17" s="21">
        <f t="shared" si="14"/>
        <v>0.6428571428571429</v>
      </c>
      <c r="I17" s="19">
        <f>IF($E17="","",VLOOKUP(D17,WORKSHEET!$J$4:$AM$396,21,FALSE))</f>
        <v>10</v>
      </c>
      <c r="J17" s="21">
        <f t="shared" si="15"/>
        <v>0.7142857142857143</v>
      </c>
      <c r="K17" s="20">
        <f>IF($E17="","",VLOOKUP(D17,WORKSHEET!$J$4:$AM$396,23,FALSE))</f>
        <v>2</v>
      </c>
      <c r="L17" s="19">
        <f>IF($E17="","",VLOOKUP(D17,WORKSHEET!$J$4:$AM$396,24,FALSE))</f>
        <v>0</v>
      </c>
      <c r="M17" s="19">
        <f>IF($E17="","",VLOOKUP(D17,WORKSHEET!$J$4:$AM$396,25,FALSE))</f>
        <v>0</v>
      </c>
      <c r="N17" s="19">
        <f t="shared" si="16"/>
        <v>2</v>
      </c>
      <c r="O17" s="22">
        <f t="shared" si="17"/>
        <v>0.14285714285714285</v>
      </c>
      <c r="P17" s="23">
        <f>IF($E17="","",VLOOKUP(D17,WORKSHEET!$J$4:$AM$396,27,FALSE)+VLOOKUP(D17,WORKSHEET!$J$4:$AM$396,28,FALSE)+VLOOKUP(D17,WORKSHEET!$J$4:$AM$396,29,FALSE))</f>
        <v>2</v>
      </c>
      <c r="Q17" s="22">
        <f t="shared" si="18"/>
        <v>0.14285714285714285</v>
      </c>
    </row>
    <row r="18" spans="2:17" ht="17" customHeight="1" x14ac:dyDescent="0.2">
      <c r="B18" s="6" t="str">
        <f t="shared" si="12"/>
        <v>Nov 2024</v>
      </c>
      <c r="C18" s="6" t="s">
        <v>204</v>
      </c>
      <c r="D18" s="6" t="str">
        <f t="shared" si="13"/>
        <v>Nov 2024-WEST-4</v>
      </c>
      <c r="E18" s="18" t="str">
        <f>IFERROR(VLOOKUP(D18,WORKSHEET!$J$4:$AM$396,13,FALSE),"")</f>
        <v>Lexus of Lakeway</v>
      </c>
      <c r="F18" s="19">
        <f>IF($E18="","",VLOOKUP(D18,WORKSHEET!$J$4:$AM$396,14,FALSE))</f>
        <v>11</v>
      </c>
      <c r="G18" s="20">
        <f>IF($E18="","",VLOOKUP(D18,WORKSHEET!$J$4:$AM$396,15,FALSE))</f>
        <v>7</v>
      </c>
      <c r="H18" s="21">
        <f t="shared" si="14"/>
        <v>0.63636363636363635</v>
      </c>
      <c r="I18" s="19">
        <f>IF($E18="","",VLOOKUP(D18,WORKSHEET!$J$4:$AM$396,21,FALSE))</f>
        <v>10</v>
      </c>
      <c r="J18" s="21">
        <f t="shared" si="15"/>
        <v>0.90909090909090906</v>
      </c>
      <c r="K18" s="20">
        <f>IF($E18="","",VLOOKUP(D18,WORKSHEET!$J$4:$AM$396,23,FALSE))</f>
        <v>0</v>
      </c>
      <c r="L18" s="19">
        <f>IF($E18="","",VLOOKUP(D18,WORKSHEET!$J$4:$AM$396,24,FALSE))</f>
        <v>0</v>
      </c>
      <c r="M18" s="19">
        <f>IF($E18="","",VLOOKUP(D18,WORKSHEET!$J$4:$AM$396,25,FALSE))</f>
        <v>0</v>
      </c>
      <c r="N18" s="19">
        <f t="shared" si="16"/>
        <v>0</v>
      </c>
      <c r="O18" s="22">
        <f t="shared" si="17"/>
        <v>0</v>
      </c>
      <c r="P18" s="23">
        <f>IF($E18="","",VLOOKUP(D18,WORKSHEET!$J$4:$AM$396,27,FALSE)+VLOOKUP(D18,WORKSHEET!$J$4:$AM$396,28,FALSE)+VLOOKUP(D18,WORKSHEET!$J$4:$AM$396,29,FALSE))</f>
        <v>1</v>
      </c>
      <c r="Q18" s="22">
        <f t="shared" si="18"/>
        <v>9.0909090909090912E-2</v>
      </c>
    </row>
    <row r="19" spans="2:17" ht="17" customHeight="1" x14ac:dyDescent="0.2">
      <c r="B19" s="6" t="str">
        <f t="shared" si="12"/>
        <v>Nov 2024</v>
      </c>
      <c r="C19" s="6" t="s">
        <v>164</v>
      </c>
      <c r="D19" s="6" t="str">
        <f t="shared" si="13"/>
        <v>Nov 2024-WEST-5</v>
      </c>
      <c r="E19" s="18" t="str">
        <f>IFERROR(VLOOKUP(D19,WORKSHEET!$J$4:$AM$396,13,FALSE),"")</f>
        <v>Crevier MINI</v>
      </c>
      <c r="F19" s="19">
        <f>IF($E19="","",VLOOKUP(D19,WORKSHEET!$J$4:$AM$396,14,FALSE))</f>
        <v>5</v>
      </c>
      <c r="G19" s="20">
        <f>IF($E19="","",VLOOKUP(D19,WORKSHEET!$J$4:$AM$396,15,FALSE))</f>
        <v>3</v>
      </c>
      <c r="H19" s="21">
        <f t="shared" si="14"/>
        <v>0.6</v>
      </c>
      <c r="I19" s="19">
        <f>IF($E19="","",VLOOKUP(D19,WORKSHEET!$J$4:$AM$396,21,FALSE))</f>
        <v>5</v>
      </c>
      <c r="J19" s="21">
        <f t="shared" si="15"/>
        <v>1</v>
      </c>
      <c r="K19" s="20">
        <f>IF($E19="","",VLOOKUP(D19,WORKSHEET!$J$4:$AM$396,23,FALSE))</f>
        <v>0</v>
      </c>
      <c r="L19" s="19">
        <f>IF($E19="","",VLOOKUP(D19,WORKSHEET!$J$4:$AM$396,24,FALSE))</f>
        <v>0</v>
      </c>
      <c r="M19" s="19">
        <f>IF($E19="","",VLOOKUP(D19,WORKSHEET!$J$4:$AM$396,25,FALSE))</f>
        <v>0</v>
      </c>
      <c r="N19" s="19">
        <f t="shared" si="16"/>
        <v>0</v>
      </c>
      <c r="O19" s="22">
        <f t="shared" si="17"/>
        <v>0</v>
      </c>
      <c r="P19" s="23">
        <f>IF($E19="","",VLOOKUP(D19,WORKSHEET!$J$4:$AM$396,27,FALSE)+VLOOKUP(D19,WORKSHEET!$J$4:$AM$396,28,FALSE)+VLOOKUP(D19,WORKSHEET!$J$4:$AM$396,29,FALSE))</f>
        <v>0</v>
      </c>
      <c r="Q19" s="22">
        <f t="shared" si="18"/>
        <v>0</v>
      </c>
    </row>
    <row r="20" spans="2:17" ht="17" customHeight="1" x14ac:dyDescent="0.2">
      <c r="B20" s="6" t="str">
        <f t="shared" si="12"/>
        <v>Nov 2024</v>
      </c>
      <c r="C20" s="6" t="s">
        <v>165</v>
      </c>
      <c r="D20" s="6" t="str">
        <f t="shared" si="13"/>
        <v>Nov 2024-WEST-6</v>
      </c>
      <c r="E20" s="18" t="str">
        <f>IFERROR(VLOOKUP(D20,WORKSHEET!$J$4:$AM$396,13,FALSE),"")</f>
        <v>Round Rock Honda</v>
      </c>
      <c r="F20" s="19">
        <f>IF($E20="","",VLOOKUP(D20,WORKSHEET!$J$4:$AM$396,14,FALSE))</f>
        <v>26</v>
      </c>
      <c r="G20" s="20">
        <f>IF($E20="","",VLOOKUP(D20,WORKSHEET!$J$4:$AM$396,15,FALSE))</f>
        <v>14</v>
      </c>
      <c r="H20" s="21">
        <f t="shared" si="14"/>
        <v>0.53846153846153844</v>
      </c>
      <c r="I20" s="19">
        <f>IF($E20="","",VLOOKUP(D20,WORKSHEET!$J$4:$AM$396,21,FALSE))</f>
        <v>17</v>
      </c>
      <c r="J20" s="21">
        <f t="shared" si="15"/>
        <v>0.65384615384615385</v>
      </c>
      <c r="K20" s="20">
        <f>IF($E20="","",VLOOKUP(D20,WORKSHEET!$J$4:$AM$396,23,FALSE))</f>
        <v>0</v>
      </c>
      <c r="L20" s="19">
        <f>IF($E20="","",VLOOKUP(D20,WORKSHEET!$J$4:$AM$396,24,FALSE))</f>
        <v>0</v>
      </c>
      <c r="M20" s="19">
        <f>IF($E20="","",VLOOKUP(D20,WORKSHEET!$J$4:$AM$396,25,FALSE))</f>
        <v>0</v>
      </c>
      <c r="N20" s="19">
        <f t="shared" si="16"/>
        <v>0</v>
      </c>
      <c r="O20" s="22">
        <f t="shared" si="17"/>
        <v>0</v>
      </c>
      <c r="P20" s="23">
        <f>IF($E20="","",VLOOKUP(D20,WORKSHEET!$J$4:$AM$396,27,FALSE)+VLOOKUP(D20,WORKSHEET!$J$4:$AM$396,28,FALSE)+VLOOKUP(D20,WORKSHEET!$J$4:$AM$396,29,FALSE))</f>
        <v>9</v>
      </c>
      <c r="Q20" s="22">
        <f t="shared" si="18"/>
        <v>0.34615384615384615</v>
      </c>
    </row>
    <row r="21" spans="2:17" ht="17" customHeight="1" x14ac:dyDescent="0.2">
      <c r="B21" s="6" t="str">
        <f t="shared" si="12"/>
        <v>Nov 2024</v>
      </c>
      <c r="C21" s="6" t="s">
        <v>201</v>
      </c>
      <c r="D21" s="6" t="str">
        <f t="shared" si="13"/>
        <v>Nov 2024-WEST-7</v>
      </c>
      <c r="E21" s="18" t="str">
        <f>IFERROR(VLOOKUP(D21,WORKSHEET!$J$4:$AM$396,13,FALSE),"")</f>
        <v>BMW of San Diego</v>
      </c>
      <c r="F21" s="19">
        <f>IF($E21="","",VLOOKUP(D21,WORKSHEET!$J$4:$AM$396,14,FALSE))</f>
        <v>59</v>
      </c>
      <c r="G21" s="20">
        <f>IF($E21="","",VLOOKUP(D21,WORKSHEET!$J$4:$AM$396,15,FALSE))</f>
        <v>26</v>
      </c>
      <c r="H21" s="21">
        <f t="shared" si="14"/>
        <v>0.44067796610169491</v>
      </c>
      <c r="I21" s="19">
        <f>IF($E21="","",VLOOKUP(D21,WORKSHEET!$J$4:$AM$396,21,FALSE))</f>
        <v>45</v>
      </c>
      <c r="J21" s="21">
        <f t="shared" si="15"/>
        <v>0.76271186440677963</v>
      </c>
      <c r="K21" s="20">
        <f>IF($E21="","",VLOOKUP(D21,WORKSHEET!$J$4:$AM$396,23,FALSE))</f>
        <v>4</v>
      </c>
      <c r="L21" s="19">
        <f>IF($E21="","",VLOOKUP(D21,WORKSHEET!$J$4:$AM$396,24,FALSE))</f>
        <v>0</v>
      </c>
      <c r="M21" s="19">
        <f>IF($E21="","",VLOOKUP(D21,WORKSHEET!$J$4:$AM$396,25,FALSE))</f>
        <v>7</v>
      </c>
      <c r="N21" s="19">
        <f t="shared" si="16"/>
        <v>11</v>
      </c>
      <c r="O21" s="22">
        <f t="shared" si="17"/>
        <v>0.1864406779661017</v>
      </c>
      <c r="P21" s="23">
        <f>IF($E21="","",VLOOKUP(D21,WORKSHEET!$J$4:$AM$396,27,FALSE)+VLOOKUP(D21,WORKSHEET!$J$4:$AM$396,28,FALSE)+VLOOKUP(D21,WORKSHEET!$J$4:$AM$396,29,FALSE))</f>
        <v>3</v>
      </c>
      <c r="Q21" s="22">
        <f t="shared" si="18"/>
        <v>5.0847457627118647E-2</v>
      </c>
    </row>
    <row r="22" spans="2:17" ht="17" customHeight="1" x14ac:dyDescent="0.2">
      <c r="B22" s="6" t="str">
        <f t="shared" si="12"/>
        <v>Nov 2024</v>
      </c>
      <c r="C22" s="6" t="s">
        <v>188</v>
      </c>
      <c r="D22" s="6" t="str">
        <f t="shared" si="13"/>
        <v>Nov 2024-WEST-8</v>
      </c>
      <c r="E22" s="18" t="str">
        <f>IFERROR(VLOOKUP(D22,WORKSHEET!$J$4:$AM$396,13,FALSE),"")</f>
        <v>Acura North Scottsdale</v>
      </c>
      <c r="F22" s="19">
        <f>IF($E22="","",VLOOKUP(D22,WORKSHEET!$J$4:$AM$396,14,FALSE))</f>
        <v>7</v>
      </c>
      <c r="G22" s="20">
        <f>IF($E22="","",VLOOKUP(D22,WORKSHEET!$J$4:$AM$396,15,FALSE))</f>
        <v>3</v>
      </c>
      <c r="H22" s="21">
        <f t="shared" si="14"/>
        <v>0.42857142857142855</v>
      </c>
      <c r="I22" s="19">
        <f>IF($E22="","",VLOOKUP(D22,WORKSHEET!$J$4:$AM$396,21,FALSE))</f>
        <v>5</v>
      </c>
      <c r="J22" s="21">
        <f t="shared" si="15"/>
        <v>0.7142857142857143</v>
      </c>
      <c r="K22" s="20">
        <f>IF($E22="","",VLOOKUP(D22,WORKSHEET!$J$4:$AM$396,23,FALSE))</f>
        <v>0</v>
      </c>
      <c r="L22" s="19">
        <f>IF($E22="","",VLOOKUP(D22,WORKSHEET!$J$4:$AM$396,24,FALSE))</f>
        <v>0</v>
      </c>
      <c r="M22" s="19">
        <f>IF($E22="","",VLOOKUP(D22,WORKSHEET!$J$4:$AM$396,25,FALSE))</f>
        <v>0</v>
      </c>
      <c r="N22" s="19">
        <f t="shared" si="16"/>
        <v>0</v>
      </c>
      <c r="O22" s="22">
        <f t="shared" si="17"/>
        <v>0</v>
      </c>
      <c r="P22" s="23">
        <f>IF($E22="","",VLOOKUP(D22,WORKSHEET!$J$4:$AM$396,27,FALSE)+VLOOKUP(D22,WORKSHEET!$J$4:$AM$396,28,FALSE)+VLOOKUP(D22,WORKSHEET!$J$4:$AM$396,29,FALSE))</f>
        <v>2</v>
      </c>
      <c r="Q22" s="22">
        <f t="shared" si="18"/>
        <v>0.2857142857142857</v>
      </c>
    </row>
    <row r="23" spans="2:17" ht="17" customHeight="1" x14ac:dyDescent="0.2">
      <c r="B23" s="6" t="str">
        <f t="shared" si="12"/>
        <v>Nov 2024</v>
      </c>
      <c r="C23" s="6" t="s">
        <v>170</v>
      </c>
      <c r="D23" s="6" t="str">
        <f t="shared" si="13"/>
        <v>Nov 2024-WEST-9</v>
      </c>
      <c r="E23" s="18" t="str">
        <f>IFERROR(VLOOKUP(D23,WORKSHEET!$J$4:$AM$396,13,FALSE),"")</f>
        <v>Lexus San Diego</v>
      </c>
      <c r="F23" s="19">
        <f>IF($E23="","",VLOOKUP(D23,WORKSHEET!$J$4:$AM$396,14,FALSE))</f>
        <v>31</v>
      </c>
      <c r="G23" s="20">
        <f>IF($E23="","",VLOOKUP(D23,WORKSHEET!$J$4:$AM$396,15,FALSE))</f>
        <v>13</v>
      </c>
      <c r="H23" s="21">
        <f t="shared" si="14"/>
        <v>0.41935483870967744</v>
      </c>
      <c r="I23" s="19">
        <f>IF($E23="","",VLOOKUP(D23,WORKSHEET!$J$4:$AM$396,21,FALSE))</f>
        <v>23</v>
      </c>
      <c r="J23" s="21">
        <f t="shared" si="15"/>
        <v>0.74193548387096775</v>
      </c>
      <c r="K23" s="20">
        <f>IF($E23="","",VLOOKUP(D23,WORKSHEET!$J$4:$AM$396,23,FALSE))</f>
        <v>8</v>
      </c>
      <c r="L23" s="19">
        <f>IF($E23="","",VLOOKUP(D23,WORKSHEET!$J$4:$AM$396,24,FALSE))</f>
        <v>0</v>
      </c>
      <c r="M23" s="19">
        <f>IF($E23="","",VLOOKUP(D23,WORKSHEET!$J$4:$AM$396,25,FALSE))</f>
        <v>0</v>
      </c>
      <c r="N23" s="19">
        <f t="shared" si="16"/>
        <v>8</v>
      </c>
      <c r="O23" s="22">
        <f t="shared" si="17"/>
        <v>0.25806451612903225</v>
      </c>
      <c r="P23" s="23">
        <f>IF($E23="","",VLOOKUP(D23,WORKSHEET!$J$4:$AM$396,27,FALSE)+VLOOKUP(D23,WORKSHEET!$J$4:$AM$396,28,FALSE)+VLOOKUP(D23,WORKSHEET!$J$4:$AM$396,29,FALSE))</f>
        <v>0</v>
      </c>
      <c r="Q23" s="22">
        <f t="shared" si="18"/>
        <v>0</v>
      </c>
    </row>
    <row r="24" spans="2:17" ht="17" customHeight="1" x14ac:dyDescent="0.2">
      <c r="B24" s="6" t="str">
        <f t="shared" si="12"/>
        <v>Nov 2024</v>
      </c>
      <c r="C24" s="6" t="s">
        <v>185</v>
      </c>
      <c r="D24" s="6" t="str">
        <f t="shared" si="13"/>
        <v>Nov 2024-WEST-10</v>
      </c>
      <c r="E24" s="18" t="str">
        <f>IFERROR(VLOOKUP(D24,WORKSHEET!$J$4:$AM$396,13,FALSE),"")</f>
        <v>Audi North Scottsdale</v>
      </c>
      <c r="F24" s="19">
        <f>IF($E24="","",VLOOKUP(D24,WORKSHEET!$J$4:$AM$396,14,FALSE))</f>
        <v>17</v>
      </c>
      <c r="G24" s="20">
        <f>IF($E24="","",VLOOKUP(D24,WORKSHEET!$J$4:$AM$396,15,FALSE))</f>
        <v>7</v>
      </c>
      <c r="H24" s="21">
        <f t="shared" si="14"/>
        <v>0.41176470588235292</v>
      </c>
      <c r="I24" s="19">
        <f>IF($E24="","",VLOOKUP(D24,WORKSHEET!$J$4:$AM$396,21,FALSE))</f>
        <v>10</v>
      </c>
      <c r="J24" s="21">
        <f t="shared" si="15"/>
        <v>0.58823529411764708</v>
      </c>
      <c r="K24" s="20">
        <f>IF($E24="","",VLOOKUP(D24,WORKSHEET!$J$4:$AM$396,23,FALSE))</f>
        <v>2</v>
      </c>
      <c r="L24" s="19">
        <f>IF($E24="","",VLOOKUP(D24,WORKSHEET!$J$4:$AM$396,24,FALSE))</f>
        <v>3</v>
      </c>
      <c r="M24" s="19">
        <f>IF($E24="","",VLOOKUP(D24,WORKSHEET!$J$4:$AM$396,25,FALSE))</f>
        <v>0</v>
      </c>
      <c r="N24" s="19">
        <f t="shared" si="16"/>
        <v>5</v>
      </c>
      <c r="O24" s="22">
        <f t="shared" si="17"/>
        <v>0.29411764705882354</v>
      </c>
      <c r="P24" s="23">
        <f>IF($E24="","",VLOOKUP(D24,WORKSHEET!$J$4:$AM$396,27,FALSE)+VLOOKUP(D24,WORKSHEET!$J$4:$AM$396,28,FALSE)+VLOOKUP(D24,WORKSHEET!$J$4:$AM$396,29,FALSE))</f>
        <v>2</v>
      </c>
      <c r="Q24" s="22">
        <f t="shared" si="18"/>
        <v>0.11764705882352941</v>
      </c>
    </row>
    <row r="25" spans="2:17" ht="17" customHeight="1" x14ac:dyDescent="0.2">
      <c r="B25" s="6" t="str">
        <f t="shared" si="12"/>
        <v>Nov 2024</v>
      </c>
      <c r="C25" s="6" t="s">
        <v>191</v>
      </c>
      <c r="D25" s="6" t="str">
        <f t="shared" si="13"/>
        <v>Nov 2024-WEST-11</v>
      </c>
      <c r="E25" s="18" t="str">
        <f>IFERROR(VLOOKUP(D25,WORKSHEET!$J$4:$AM$396,13,FALSE),"")</f>
        <v>Tempe Honda</v>
      </c>
      <c r="F25" s="19">
        <f>IF($E25="","",VLOOKUP(D25,WORKSHEET!$J$4:$AM$396,14,FALSE))</f>
        <v>34</v>
      </c>
      <c r="G25" s="20">
        <f>IF($E25="","",VLOOKUP(D25,WORKSHEET!$J$4:$AM$396,15,FALSE))</f>
        <v>14</v>
      </c>
      <c r="H25" s="21">
        <f t="shared" si="14"/>
        <v>0.41176470588235292</v>
      </c>
      <c r="I25" s="19">
        <f>IF($E25="","",VLOOKUP(D25,WORKSHEET!$J$4:$AM$396,21,FALSE))</f>
        <v>25</v>
      </c>
      <c r="J25" s="21">
        <f t="shared" si="15"/>
        <v>0.73529411764705888</v>
      </c>
      <c r="K25" s="20">
        <f>IF($E25="","",VLOOKUP(D25,WORKSHEET!$J$4:$AM$396,23,FALSE))</f>
        <v>0</v>
      </c>
      <c r="L25" s="19">
        <f>IF($E25="","",VLOOKUP(D25,WORKSHEET!$J$4:$AM$396,24,FALSE))</f>
        <v>1</v>
      </c>
      <c r="M25" s="19">
        <f>IF($E25="","",VLOOKUP(D25,WORKSHEET!$J$4:$AM$396,25,FALSE))</f>
        <v>3</v>
      </c>
      <c r="N25" s="19">
        <f t="shared" si="16"/>
        <v>4</v>
      </c>
      <c r="O25" s="22">
        <f t="shared" si="17"/>
        <v>0.11764705882352941</v>
      </c>
      <c r="P25" s="23">
        <f>IF($E25="","",VLOOKUP(D25,WORKSHEET!$J$4:$AM$396,27,FALSE)+VLOOKUP(D25,WORKSHEET!$J$4:$AM$396,28,FALSE)+VLOOKUP(D25,WORKSHEET!$J$4:$AM$396,29,FALSE))</f>
        <v>5</v>
      </c>
      <c r="Q25" s="22">
        <f t="shared" si="18"/>
        <v>0.14705882352941177</v>
      </c>
    </row>
    <row r="26" spans="2:17" ht="17" customHeight="1" x14ac:dyDescent="0.2">
      <c r="B26" s="6" t="str">
        <f t="shared" si="12"/>
        <v>Nov 2024</v>
      </c>
      <c r="C26" s="6" t="s">
        <v>176</v>
      </c>
      <c r="D26" s="6" t="str">
        <f t="shared" si="13"/>
        <v>Nov 2024-WEST-12</v>
      </c>
      <c r="E26" s="18" t="str">
        <f>IFERROR(VLOOKUP(D26,WORKSHEET!$J$4:$AM$396,13,FALSE),"")</f>
        <v>Peter Pan BMW</v>
      </c>
      <c r="F26" s="19">
        <f>IF($E26="","",VLOOKUP(D26,WORKSHEET!$J$4:$AM$396,14,FALSE))</f>
        <v>62</v>
      </c>
      <c r="G26" s="20">
        <f>IF($E26="","",VLOOKUP(D26,WORKSHEET!$J$4:$AM$396,15,FALSE))</f>
        <v>25</v>
      </c>
      <c r="H26" s="21">
        <f t="shared" si="14"/>
        <v>0.40322580645161288</v>
      </c>
      <c r="I26" s="19">
        <f>IF($E26="","",VLOOKUP(D26,WORKSHEET!$J$4:$AM$396,21,FALSE))</f>
        <v>42</v>
      </c>
      <c r="J26" s="21">
        <f t="shared" si="15"/>
        <v>0.67741935483870963</v>
      </c>
      <c r="K26" s="20">
        <f>IF($E26="","",VLOOKUP(D26,WORKSHEET!$J$4:$AM$396,23,FALSE))</f>
        <v>6</v>
      </c>
      <c r="L26" s="19">
        <f>IF($E26="","",VLOOKUP(D26,WORKSHEET!$J$4:$AM$396,24,FALSE))</f>
        <v>0</v>
      </c>
      <c r="M26" s="19">
        <f>IF($E26="","",VLOOKUP(D26,WORKSHEET!$J$4:$AM$396,25,FALSE))</f>
        <v>0</v>
      </c>
      <c r="N26" s="19">
        <f t="shared" si="16"/>
        <v>6</v>
      </c>
      <c r="O26" s="22">
        <f t="shared" si="17"/>
        <v>9.6774193548387094E-2</v>
      </c>
      <c r="P26" s="23">
        <f>IF($E26="","",VLOOKUP(D26,WORKSHEET!$J$4:$AM$396,27,FALSE)+VLOOKUP(D26,WORKSHEET!$J$4:$AM$396,28,FALSE)+VLOOKUP(D26,WORKSHEET!$J$4:$AM$396,29,FALSE))</f>
        <v>14</v>
      </c>
      <c r="Q26" s="22">
        <f t="shared" si="18"/>
        <v>0.22580645161290322</v>
      </c>
    </row>
    <row r="27" spans="2:17" ht="17" customHeight="1" x14ac:dyDescent="0.2">
      <c r="B27" s="6" t="str">
        <f t="shared" si="12"/>
        <v>Nov 2024</v>
      </c>
      <c r="C27" s="6" t="s">
        <v>193</v>
      </c>
      <c r="D27" s="6" t="str">
        <f t="shared" si="13"/>
        <v>Nov 2024-WEST-13</v>
      </c>
      <c r="E27" s="18" t="str">
        <f>IFERROR(VLOOKUP(D27,WORKSHEET!$J$4:$AM$396,13,FALSE),"")</f>
        <v>Crevier BMW</v>
      </c>
      <c r="F27" s="19">
        <f>IF($E27="","",VLOOKUP(D27,WORKSHEET!$J$4:$AM$396,14,FALSE))</f>
        <v>137</v>
      </c>
      <c r="G27" s="20">
        <f>IF($E27="","",VLOOKUP(D27,WORKSHEET!$J$4:$AM$396,15,FALSE))</f>
        <v>55</v>
      </c>
      <c r="H27" s="21">
        <f t="shared" si="14"/>
        <v>0.40145985401459855</v>
      </c>
      <c r="I27" s="19">
        <f>IF($E27="","",VLOOKUP(D27,WORKSHEET!$J$4:$AM$396,21,FALSE))</f>
        <v>87</v>
      </c>
      <c r="J27" s="21">
        <f t="shared" si="15"/>
        <v>0.63503649635036497</v>
      </c>
      <c r="K27" s="20">
        <f>IF($E27="","",VLOOKUP(D27,WORKSHEET!$J$4:$AM$396,23,FALSE))</f>
        <v>0</v>
      </c>
      <c r="L27" s="19">
        <f>IF($E27="","",VLOOKUP(D27,WORKSHEET!$J$4:$AM$396,24,FALSE))</f>
        <v>0</v>
      </c>
      <c r="M27" s="19">
        <f>IF($E27="","",VLOOKUP(D27,WORKSHEET!$J$4:$AM$396,25,FALSE))</f>
        <v>0</v>
      </c>
      <c r="N27" s="19">
        <f t="shared" si="16"/>
        <v>0</v>
      </c>
      <c r="O27" s="22">
        <f t="shared" si="17"/>
        <v>0</v>
      </c>
      <c r="P27" s="23">
        <f>IF($E27="","",VLOOKUP(D27,WORKSHEET!$J$4:$AM$396,27,FALSE)+VLOOKUP(D27,WORKSHEET!$J$4:$AM$396,28,FALSE)+VLOOKUP(D27,WORKSHEET!$J$4:$AM$396,29,FALSE))</f>
        <v>50</v>
      </c>
      <c r="Q27" s="22">
        <f t="shared" si="18"/>
        <v>0.36496350364963503</v>
      </c>
    </row>
    <row r="28" spans="2:17" ht="17" customHeight="1" x14ac:dyDescent="0.2">
      <c r="B28" s="6" t="str">
        <f t="shared" si="12"/>
        <v>Nov 2024</v>
      </c>
      <c r="C28" s="6" t="s">
        <v>183</v>
      </c>
      <c r="D28" s="6" t="str">
        <f t="shared" si="13"/>
        <v>Nov 2024-WEST-14</v>
      </c>
      <c r="E28" s="18" t="str">
        <f>IFERROR(VLOOKUP(D28,WORKSHEET!$J$4:$AM$396,13,FALSE),"")</f>
        <v>Honda of Escondido</v>
      </c>
      <c r="F28" s="19">
        <f>IF($E28="","",VLOOKUP(D28,WORKSHEET!$J$4:$AM$396,14,FALSE))</f>
        <v>15</v>
      </c>
      <c r="G28" s="20">
        <f>IF($E28="","",VLOOKUP(D28,WORKSHEET!$J$4:$AM$396,15,FALSE))</f>
        <v>6</v>
      </c>
      <c r="H28" s="21">
        <f t="shared" si="14"/>
        <v>0.4</v>
      </c>
      <c r="I28" s="19">
        <f>IF($E28="","",VLOOKUP(D28,WORKSHEET!$J$4:$AM$396,21,FALSE))</f>
        <v>10</v>
      </c>
      <c r="J28" s="21">
        <f t="shared" si="15"/>
        <v>0.66666666666666663</v>
      </c>
      <c r="K28" s="20">
        <f>IF($E28="","",VLOOKUP(D28,WORKSHEET!$J$4:$AM$396,23,FALSE))</f>
        <v>0</v>
      </c>
      <c r="L28" s="19">
        <f>IF($E28="","",VLOOKUP(D28,WORKSHEET!$J$4:$AM$396,24,FALSE))</f>
        <v>0</v>
      </c>
      <c r="M28" s="19">
        <f>IF($E28="","",VLOOKUP(D28,WORKSHEET!$J$4:$AM$396,25,FALSE))</f>
        <v>0</v>
      </c>
      <c r="N28" s="19">
        <f t="shared" si="16"/>
        <v>0</v>
      </c>
      <c r="O28" s="22">
        <f t="shared" si="17"/>
        <v>0</v>
      </c>
      <c r="P28" s="23">
        <f>IF($E28="","",VLOOKUP(D28,WORKSHEET!$J$4:$AM$396,27,FALSE)+VLOOKUP(D28,WORKSHEET!$J$4:$AM$396,28,FALSE)+VLOOKUP(D28,WORKSHEET!$J$4:$AM$396,29,FALSE))</f>
        <v>5</v>
      </c>
      <c r="Q28" s="22">
        <f t="shared" si="18"/>
        <v>0.33333333333333331</v>
      </c>
    </row>
    <row r="29" spans="2:17" ht="17" customHeight="1" x14ac:dyDescent="0.2">
      <c r="B29" s="6" t="str">
        <f t="shared" si="12"/>
        <v>Nov 2024</v>
      </c>
      <c r="C29" s="6" t="s">
        <v>195</v>
      </c>
      <c r="D29" s="6" t="str">
        <f t="shared" si="13"/>
        <v>Nov 2024-WEST-15</v>
      </c>
      <c r="E29" s="18" t="str">
        <f>IFERROR(VLOOKUP(D29,WORKSHEET!$J$4:$AM$396,13,FALSE),"")</f>
        <v>BMW of Austin</v>
      </c>
      <c r="F29" s="19">
        <f>IF($E29="","",VLOOKUP(D29,WORKSHEET!$J$4:$AM$396,14,FALSE))</f>
        <v>35</v>
      </c>
      <c r="G29" s="20">
        <f>IF($E29="","",VLOOKUP(D29,WORKSHEET!$J$4:$AM$396,15,FALSE))</f>
        <v>13</v>
      </c>
      <c r="H29" s="21">
        <f t="shared" si="14"/>
        <v>0.37142857142857144</v>
      </c>
      <c r="I29" s="19">
        <f>IF($E29="","",VLOOKUP(D29,WORKSHEET!$J$4:$AM$396,21,FALSE))</f>
        <v>24</v>
      </c>
      <c r="J29" s="21">
        <f t="shared" si="15"/>
        <v>0.68571428571428572</v>
      </c>
      <c r="K29" s="20">
        <f>IF($E29="","",VLOOKUP(D29,WORKSHEET!$J$4:$AM$396,23,FALSE))</f>
        <v>0</v>
      </c>
      <c r="L29" s="19">
        <f>IF($E29="","",VLOOKUP(D29,WORKSHEET!$J$4:$AM$396,24,FALSE))</f>
        <v>0</v>
      </c>
      <c r="M29" s="19">
        <f>IF($E29="","",VLOOKUP(D29,WORKSHEET!$J$4:$AM$396,25,FALSE))</f>
        <v>0</v>
      </c>
      <c r="N29" s="19">
        <f t="shared" si="16"/>
        <v>0</v>
      </c>
      <c r="O29" s="22">
        <f t="shared" si="17"/>
        <v>0</v>
      </c>
      <c r="P29" s="23">
        <f>IF($E29="","",VLOOKUP(D29,WORKSHEET!$J$4:$AM$396,27,FALSE)+VLOOKUP(D29,WORKSHEET!$J$4:$AM$396,28,FALSE)+VLOOKUP(D29,WORKSHEET!$J$4:$AM$396,29,FALSE))</f>
        <v>11</v>
      </c>
      <c r="Q29" s="22">
        <f t="shared" si="18"/>
        <v>0.31428571428571428</v>
      </c>
    </row>
    <row r="30" spans="2:17" ht="17" customHeight="1" x14ac:dyDescent="0.2">
      <c r="B30" s="6" t="str">
        <f t="shared" si="12"/>
        <v>Nov 2024</v>
      </c>
      <c r="C30" s="6" t="s">
        <v>189</v>
      </c>
      <c r="D30" s="6" t="str">
        <f t="shared" si="13"/>
        <v>Nov 2024-WEST-16</v>
      </c>
      <c r="E30" s="18" t="str">
        <f>IFERROR(VLOOKUP(D30,WORKSHEET!$J$4:$AM$396,13,FALSE),"")</f>
        <v>Audi South Coast</v>
      </c>
      <c r="F30" s="19">
        <f>IF($E30="","",VLOOKUP(D30,WORKSHEET!$J$4:$AM$396,14,FALSE))</f>
        <v>30</v>
      </c>
      <c r="G30" s="20">
        <f>IF($E30="","",VLOOKUP(D30,WORKSHEET!$J$4:$AM$396,15,FALSE))</f>
        <v>11</v>
      </c>
      <c r="H30" s="21">
        <f t="shared" si="14"/>
        <v>0.36666666666666664</v>
      </c>
      <c r="I30" s="19">
        <f>IF($E30="","",VLOOKUP(D30,WORKSHEET!$J$4:$AM$396,21,FALSE))</f>
        <v>18</v>
      </c>
      <c r="J30" s="21">
        <f t="shared" si="15"/>
        <v>0.6</v>
      </c>
      <c r="K30" s="20">
        <f>IF($E30="","",VLOOKUP(D30,WORKSHEET!$J$4:$AM$396,23,FALSE))</f>
        <v>0</v>
      </c>
      <c r="L30" s="19">
        <f>IF($E30="","",VLOOKUP(D30,WORKSHEET!$J$4:$AM$396,24,FALSE))</f>
        <v>0</v>
      </c>
      <c r="M30" s="19">
        <f>IF($E30="","",VLOOKUP(D30,WORKSHEET!$J$4:$AM$396,25,FALSE))</f>
        <v>0</v>
      </c>
      <c r="N30" s="19">
        <f t="shared" si="16"/>
        <v>0</v>
      </c>
      <c r="O30" s="22">
        <f t="shared" si="17"/>
        <v>0</v>
      </c>
      <c r="P30" s="23">
        <f>IF($E30="","",VLOOKUP(D30,WORKSHEET!$J$4:$AM$396,27,FALSE)+VLOOKUP(D30,WORKSHEET!$J$4:$AM$396,28,FALSE)+VLOOKUP(D30,WORKSHEET!$J$4:$AM$396,29,FALSE))</f>
        <v>12</v>
      </c>
      <c r="Q30" s="22">
        <f t="shared" si="18"/>
        <v>0.4</v>
      </c>
    </row>
    <row r="31" spans="2:17" ht="17" customHeight="1" x14ac:dyDescent="0.2">
      <c r="B31" s="6" t="str">
        <f t="shared" si="12"/>
        <v>Nov 2024</v>
      </c>
      <c r="C31" s="6" t="s">
        <v>180</v>
      </c>
      <c r="D31" s="6" t="str">
        <f t="shared" si="13"/>
        <v>Nov 2024-WEST-17</v>
      </c>
      <c r="E31" s="18" t="str">
        <f>IFERROR(VLOOKUP(D31,WORKSHEET!$J$4:$AM$396,13,FALSE),"")</f>
        <v>BMW of Ontario</v>
      </c>
      <c r="F31" s="19">
        <f>IF($E31="","",VLOOKUP(D31,WORKSHEET!$J$4:$AM$396,14,FALSE))</f>
        <v>47</v>
      </c>
      <c r="G31" s="20">
        <f>IF($E31="","",VLOOKUP(D31,WORKSHEET!$J$4:$AM$396,15,FALSE))</f>
        <v>16</v>
      </c>
      <c r="H31" s="21">
        <f t="shared" si="14"/>
        <v>0.34042553191489361</v>
      </c>
      <c r="I31" s="19">
        <f>IF($E31="","",VLOOKUP(D31,WORKSHEET!$J$4:$AM$396,21,FALSE))</f>
        <v>26</v>
      </c>
      <c r="J31" s="21">
        <f t="shared" si="15"/>
        <v>0.55319148936170215</v>
      </c>
      <c r="K31" s="20">
        <f>IF($E31="","",VLOOKUP(D31,WORKSHEET!$J$4:$AM$396,23,FALSE))</f>
        <v>0</v>
      </c>
      <c r="L31" s="19">
        <f>IF($E31="","",VLOOKUP(D31,WORKSHEET!$J$4:$AM$396,24,FALSE))</f>
        <v>3</v>
      </c>
      <c r="M31" s="19">
        <f>IF($E31="","",VLOOKUP(D31,WORKSHEET!$J$4:$AM$396,25,FALSE))</f>
        <v>0</v>
      </c>
      <c r="N31" s="19">
        <f t="shared" si="16"/>
        <v>3</v>
      </c>
      <c r="O31" s="22">
        <f t="shared" si="17"/>
        <v>6.3829787234042548E-2</v>
      </c>
      <c r="P31" s="23">
        <f>IF($E31="","",VLOOKUP(D31,WORKSHEET!$J$4:$AM$396,27,FALSE)+VLOOKUP(D31,WORKSHEET!$J$4:$AM$396,28,FALSE)+VLOOKUP(D31,WORKSHEET!$J$4:$AM$396,29,FALSE))</f>
        <v>18</v>
      </c>
      <c r="Q31" s="22">
        <f t="shared" si="18"/>
        <v>0.38297872340425532</v>
      </c>
    </row>
    <row r="32" spans="2:17" ht="17" customHeight="1" x14ac:dyDescent="0.2">
      <c r="B32" s="6" t="str">
        <f t="shared" si="12"/>
        <v>Nov 2024</v>
      </c>
      <c r="C32" s="6" t="s">
        <v>186</v>
      </c>
      <c r="D32" s="6" t="str">
        <f t="shared" si="13"/>
        <v>Nov 2024-WEST-18</v>
      </c>
      <c r="E32" s="18" t="str">
        <f>IFERROR(VLOOKUP(D32,WORKSHEET!$J$4:$AM$396,13,FALSE),"")</f>
        <v>Capitol Acura</v>
      </c>
      <c r="F32" s="19">
        <f>IF($E32="","",VLOOKUP(D32,WORKSHEET!$J$4:$AM$396,14,FALSE))</f>
        <v>3</v>
      </c>
      <c r="G32" s="20">
        <f>IF($E32="","",VLOOKUP(D32,WORKSHEET!$J$4:$AM$396,15,FALSE))</f>
        <v>1</v>
      </c>
      <c r="H32" s="21">
        <f t="shared" si="14"/>
        <v>0.33333333333333331</v>
      </c>
      <c r="I32" s="19">
        <f>IF($E32="","",VLOOKUP(D32,WORKSHEET!$J$4:$AM$396,21,FALSE))</f>
        <v>3</v>
      </c>
      <c r="J32" s="21">
        <f t="shared" si="15"/>
        <v>1</v>
      </c>
      <c r="K32" s="20">
        <f>IF($E32="","",VLOOKUP(D32,WORKSHEET!$J$4:$AM$396,23,FALSE))</f>
        <v>0</v>
      </c>
      <c r="L32" s="19">
        <f>IF($E32="","",VLOOKUP(D32,WORKSHEET!$J$4:$AM$396,24,FALSE))</f>
        <v>0</v>
      </c>
      <c r="M32" s="19">
        <f>IF($E32="","",VLOOKUP(D32,WORKSHEET!$J$4:$AM$396,25,FALSE))</f>
        <v>0</v>
      </c>
      <c r="N32" s="19">
        <f t="shared" si="16"/>
        <v>0</v>
      </c>
      <c r="O32" s="22">
        <f t="shared" si="17"/>
        <v>0</v>
      </c>
      <c r="P32" s="23">
        <f>IF($E32="","",VLOOKUP(D32,WORKSHEET!$J$4:$AM$396,27,FALSE)+VLOOKUP(D32,WORKSHEET!$J$4:$AM$396,28,FALSE)+VLOOKUP(D32,WORKSHEET!$J$4:$AM$396,29,FALSE))</f>
        <v>0</v>
      </c>
      <c r="Q32" s="22">
        <f t="shared" si="18"/>
        <v>0</v>
      </c>
    </row>
    <row r="33" spans="2:17" ht="17" customHeight="1" x14ac:dyDescent="0.2">
      <c r="B33" s="6" t="str">
        <f t="shared" si="12"/>
        <v>Nov 2024</v>
      </c>
      <c r="C33" s="6" t="s">
        <v>212</v>
      </c>
      <c r="D33" s="6" t="str">
        <f t="shared" si="13"/>
        <v>Nov 2024-WEST-19</v>
      </c>
      <c r="E33" s="18" t="str">
        <f>IFERROR(VLOOKUP(D33,WORKSHEET!$J$4:$AM$396,13,FALSE),"")</f>
        <v>MINI of Tempe</v>
      </c>
      <c r="F33" s="19">
        <f>IF($E33="","",VLOOKUP(D33,WORKSHEET!$J$4:$AM$396,14,FALSE))</f>
        <v>3</v>
      </c>
      <c r="G33" s="20">
        <f>IF($E33="","",VLOOKUP(D33,WORKSHEET!$J$4:$AM$396,15,FALSE))</f>
        <v>1</v>
      </c>
      <c r="H33" s="21">
        <f t="shared" si="14"/>
        <v>0.33333333333333331</v>
      </c>
      <c r="I33" s="19">
        <f>IF($E33="","",VLOOKUP(D33,WORKSHEET!$J$4:$AM$396,21,FALSE))</f>
        <v>1</v>
      </c>
      <c r="J33" s="21">
        <f t="shared" si="15"/>
        <v>0.33333333333333331</v>
      </c>
      <c r="K33" s="20">
        <f>IF($E33="","",VLOOKUP(D33,WORKSHEET!$J$4:$AM$396,23,FALSE))</f>
        <v>0</v>
      </c>
      <c r="L33" s="19">
        <f>IF($E33="","",VLOOKUP(D33,WORKSHEET!$J$4:$AM$396,24,FALSE))</f>
        <v>0</v>
      </c>
      <c r="M33" s="19">
        <f>IF($E33="","",VLOOKUP(D33,WORKSHEET!$J$4:$AM$396,25,FALSE))</f>
        <v>0</v>
      </c>
      <c r="N33" s="19">
        <f t="shared" si="16"/>
        <v>0</v>
      </c>
      <c r="O33" s="22">
        <f t="shared" si="17"/>
        <v>0</v>
      </c>
      <c r="P33" s="23">
        <f>IF($E33="","",VLOOKUP(D33,WORKSHEET!$J$4:$AM$396,27,FALSE)+VLOOKUP(D33,WORKSHEET!$J$4:$AM$396,28,FALSE)+VLOOKUP(D33,WORKSHEET!$J$4:$AM$396,29,FALSE))</f>
        <v>2</v>
      </c>
      <c r="Q33" s="22">
        <f t="shared" si="18"/>
        <v>0.66666666666666663</v>
      </c>
    </row>
    <row r="34" spans="2:17" ht="17" customHeight="1" x14ac:dyDescent="0.2">
      <c r="B34" s="6" t="str">
        <f t="shared" si="12"/>
        <v>Nov 2024</v>
      </c>
      <c r="C34" s="6" t="s">
        <v>213</v>
      </c>
      <c r="D34" s="6" t="str">
        <f t="shared" si="13"/>
        <v>Nov 2024-WEST-20</v>
      </c>
      <c r="E34" s="18" t="str">
        <f>IFERROR(VLOOKUP(D34,WORKSHEET!$J$4:$AM$396,13,FALSE),"")</f>
        <v>Honda North</v>
      </c>
      <c r="F34" s="19">
        <f>IF($E34="","",VLOOKUP(D34,WORKSHEET!$J$4:$AM$396,14,FALSE))</f>
        <v>13</v>
      </c>
      <c r="G34" s="20">
        <f>IF($E34="","",VLOOKUP(D34,WORKSHEET!$J$4:$AM$396,15,FALSE))</f>
        <v>4</v>
      </c>
      <c r="H34" s="21">
        <f t="shared" si="14"/>
        <v>0.30769230769230771</v>
      </c>
      <c r="I34" s="19">
        <f>IF($E34="","",VLOOKUP(D34,WORKSHEET!$J$4:$AM$396,21,FALSE))</f>
        <v>7</v>
      </c>
      <c r="J34" s="21">
        <f t="shared" si="15"/>
        <v>0.53846153846153844</v>
      </c>
      <c r="K34" s="20">
        <f>IF($E34="","",VLOOKUP(D34,WORKSHEET!$J$4:$AM$396,23,FALSE))</f>
        <v>3</v>
      </c>
      <c r="L34" s="19">
        <f>IF($E34="","",VLOOKUP(D34,WORKSHEET!$J$4:$AM$396,24,FALSE))</f>
        <v>0</v>
      </c>
      <c r="M34" s="19">
        <f>IF($E34="","",VLOOKUP(D34,WORKSHEET!$J$4:$AM$396,25,FALSE))</f>
        <v>0</v>
      </c>
      <c r="N34" s="19">
        <f t="shared" si="16"/>
        <v>3</v>
      </c>
      <c r="O34" s="22">
        <f t="shared" si="17"/>
        <v>0.23076923076923078</v>
      </c>
      <c r="P34" s="23">
        <f>IF($E34="","",VLOOKUP(D34,WORKSHEET!$J$4:$AM$396,27,FALSE)+VLOOKUP(D34,WORKSHEET!$J$4:$AM$396,28,FALSE)+VLOOKUP(D34,WORKSHEET!$J$4:$AM$396,29,FALSE))</f>
        <v>3</v>
      </c>
      <c r="Q34" s="22">
        <f t="shared" si="18"/>
        <v>0.23076923076923078</v>
      </c>
    </row>
    <row r="35" spans="2:17" ht="17" customHeight="1" x14ac:dyDescent="0.2">
      <c r="B35" s="6" t="str">
        <f t="shared" si="12"/>
        <v>Nov 2024</v>
      </c>
      <c r="C35" s="6" t="s">
        <v>173</v>
      </c>
      <c r="D35" s="6" t="str">
        <f t="shared" si="13"/>
        <v>Nov 2024-WEST-21</v>
      </c>
      <c r="E35" s="18" t="str">
        <f>IFERROR(VLOOKUP(D35,WORKSHEET!$J$4:$AM$396,13,FALSE),"")</f>
        <v>Mazda of Escondido</v>
      </c>
      <c r="F35" s="19">
        <f>IF($E35="","",VLOOKUP(D35,WORKSHEET!$J$4:$AM$396,14,FALSE))</f>
        <v>23</v>
      </c>
      <c r="G35" s="20">
        <f>IF($E35="","",VLOOKUP(D35,WORKSHEET!$J$4:$AM$396,15,FALSE))</f>
        <v>7</v>
      </c>
      <c r="H35" s="21">
        <f t="shared" si="14"/>
        <v>0.30434782608695654</v>
      </c>
      <c r="I35" s="19">
        <f>IF($E35="","",VLOOKUP(D35,WORKSHEET!$J$4:$AM$396,21,FALSE))</f>
        <v>12</v>
      </c>
      <c r="J35" s="21">
        <f t="shared" si="15"/>
        <v>0.52173913043478259</v>
      </c>
      <c r="K35" s="20">
        <f>IF($E35="","",VLOOKUP(D35,WORKSHEET!$J$4:$AM$396,23,FALSE))</f>
        <v>0</v>
      </c>
      <c r="L35" s="19">
        <f>IF($E35="","",VLOOKUP(D35,WORKSHEET!$J$4:$AM$396,24,FALSE))</f>
        <v>0</v>
      </c>
      <c r="M35" s="19">
        <f>IF($E35="","",VLOOKUP(D35,WORKSHEET!$J$4:$AM$396,25,FALSE))</f>
        <v>0</v>
      </c>
      <c r="N35" s="19">
        <f t="shared" si="16"/>
        <v>0</v>
      </c>
      <c r="O35" s="22">
        <f t="shared" si="17"/>
        <v>0</v>
      </c>
      <c r="P35" s="23">
        <f>IF($E35="","",VLOOKUP(D35,WORKSHEET!$J$4:$AM$396,27,FALSE)+VLOOKUP(D35,WORKSHEET!$J$4:$AM$396,28,FALSE)+VLOOKUP(D35,WORKSHEET!$J$4:$AM$396,29,FALSE))</f>
        <v>11</v>
      </c>
      <c r="Q35" s="22">
        <f t="shared" si="18"/>
        <v>0.47826086956521741</v>
      </c>
    </row>
    <row r="36" spans="2:17" ht="17" customHeight="1" x14ac:dyDescent="0.2">
      <c r="B36" s="6" t="str">
        <f t="shared" si="12"/>
        <v>Nov 2024</v>
      </c>
      <c r="C36" s="6" t="s">
        <v>214</v>
      </c>
      <c r="D36" s="6" t="str">
        <f t="shared" si="13"/>
        <v>Nov 2024-WEST-22</v>
      </c>
      <c r="E36" s="18" t="str">
        <f>IFERROR(VLOOKUP(D36,WORKSHEET!$J$4:$AM$396,13,FALSE),"")</f>
        <v>Audi San Jose</v>
      </c>
      <c r="F36" s="19">
        <f>IF($E36="","",VLOOKUP(D36,WORKSHEET!$J$4:$AM$396,14,FALSE))</f>
        <v>44</v>
      </c>
      <c r="G36" s="20">
        <f>IF($E36="","",VLOOKUP(D36,WORKSHEET!$J$4:$AM$396,15,FALSE))</f>
        <v>13</v>
      </c>
      <c r="H36" s="21">
        <f t="shared" si="14"/>
        <v>0.29545454545454547</v>
      </c>
      <c r="I36" s="19">
        <f>IF($E36="","",VLOOKUP(D36,WORKSHEET!$J$4:$AM$396,21,FALSE))</f>
        <v>33</v>
      </c>
      <c r="J36" s="21">
        <f t="shared" si="15"/>
        <v>0.75</v>
      </c>
      <c r="K36" s="20">
        <f>IF($E36="","",VLOOKUP(D36,WORKSHEET!$J$4:$AM$396,23,FALSE))</f>
        <v>0</v>
      </c>
      <c r="L36" s="19">
        <f>IF($E36="","",VLOOKUP(D36,WORKSHEET!$J$4:$AM$396,24,FALSE))</f>
        <v>0</v>
      </c>
      <c r="M36" s="19">
        <f>IF($E36="","",VLOOKUP(D36,WORKSHEET!$J$4:$AM$396,25,FALSE))</f>
        <v>0</v>
      </c>
      <c r="N36" s="19">
        <f t="shared" si="16"/>
        <v>0</v>
      </c>
      <c r="O36" s="22">
        <f t="shared" si="17"/>
        <v>0</v>
      </c>
      <c r="P36" s="23">
        <f>IF($E36="","",VLOOKUP(D36,WORKSHEET!$J$4:$AM$396,27,FALSE)+VLOOKUP(D36,WORKSHEET!$J$4:$AM$396,28,FALSE)+VLOOKUP(D36,WORKSHEET!$J$4:$AM$396,29,FALSE))</f>
        <v>11</v>
      </c>
      <c r="Q36" s="22">
        <f t="shared" si="18"/>
        <v>0.25</v>
      </c>
    </row>
    <row r="37" spans="2:17" ht="17" customHeight="1" x14ac:dyDescent="0.2">
      <c r="B37" s="6" t="str">
        <f t="shared" si="12"/>
        <v>Nov 2024</v>
      </c>
      <c r="C37" s="6" t="s">
        <v>175</v>
      </c>
      <c r="D37" s="6" t="str">
        <f t="shared" si="13"/>
        <v>Nov 2024-WEST-23</v>
      </c>
      <c r="E37" s="18" t="str">
        <f>IFERROR(VLOOKUP(D37,WORKSHEET!$J$4:$AM$396,13,FALSE),"")</f>
        <v>Mercedes-Benz of North Scottsdale</v>
      </c>
      <c r="F37" s="19">
        <f>IF($E37="","",VLOOKUP(D37,WORKSHEET!$J$4:$AM$396,14,FALSE))</f>
        <v>17</v>
      </c>
      <c r="G37" s="20">
        <f>IF($E37="","",VLOOKUP(D37,WORKSHEET!$J$4:$AM$396,15,FALSE))</f>
        <v>5</v>
      </c>
      <c r="H37" s="21">
        <f t="shared" si="14"/>
        <v>0.29411764705882354</v>
      </c>
      <c r="I37" s="19">
        <f>IF($E37="","",VLOOKUP(D37,WORKSHEET!$J$4:$AM$396,21,FALSE))</f>
        <v>14</v>
      </c>
      <c r="J37" s="21">
        <f t="shared" si="15"/>
        <v>0.82352941176470584</v>
      </c>
      <c r="K37" s="20">
        <f>IF($E37="","",VLOOKUP(D37,WORKSHEET!$J$4:$AM$396,23,FALSE))</f>
        <v>0</v>
      </c>
      <c r="L37" s="19">
        <f>IF($E37="","",VLOOKUP(D37,WORKSHEET!$J$4:$AM$396,24,FALSE))</f>
        <v>0</v>
      </c>
      <c r="M37" s="19">
        <f>IF($E37="","",VLOOKUP(D37,WORKSHEET!$J$4:$AM$396,25,FALSE))</f>
        <v>0</v>
      </c>
      <c r="N37" s="19">
        <f t="shared" si="16"/>
        <v>0</v>
      </c>
      <c r="O37" s="22">
        <f t="shared" si="17"/>
        <v>0</v>
      </c>
      <c r="P37" s="23">
        <f>IF($E37="","",VLOOKUP(D37,WORKSHEET!$J$4:$AM$396,27,FALSE)+VLOOKUP(D37,WORKSHEET!$J$4:$AM$396,28,FALSE)+VLOOKUP(D37,WORKSHEET!$J$4:$AM$396,29,FALSE))</f>
        <v>3</v>
      </c>
      <c r="Q37" s="22">
        <f t="shared" si="18"/>
        <v>0.17647058823529413</v>
      </c>
    </row>
    <row r="38" spans="2:17" ht="17" customHeight="1" x14ac:dyDescent="0.2">
      <c r="B38" s="6" t="str">
        <f t="shared" si="12"/>
        <v>Nov 2024</v>
      </c>
      <c r="C38" s="6" t="s">
        <v>207</v>
      </c>
      <c r="D38" s="6" t="str">
        <f t="shared" si="13"/>
        <v>Nov 2024-WEST-24</v>
      </c>
      <c r="E38" s="18" t="str">
        <f>IFERROR(VLOOKUP(D38,WORKSHEET!$J$4:$AM$396,13,FALSE),"")</f>
        <v>MINI of Marin</v>
      </c>
      <c r="F38" s="19">
        <f>IF($E38="","",VLOOKUP(D38,WORKSHEET!$J$4:$AM$396,14,FALSE))</f>
        <v>7</v>
      </c>
      <c r="G38" s="20">
        <f>IF($E38="","",VLOOKUP(D38,WORKSHEET!$J$4:$AM$396,15,FALSE))</f>
        <v>2</v>
      </c>
      <c r="H38" s="21">
        <f t="shared" si="14"/>
        <v>0.2857142857142857</v>
      </c>
      <c r="I38" s="19">
        <f>IF($E38="","",VLOOKUP(D38,WORKSHEET!$J$4:$AM$396,21,FALSE))</f>
        <v>4</v>
      </c>
      <c r="J38" s="21">
        <f t="shared" si="15"/>
        <v>0.5714285714285714</v>
      </c>
      <c r="K38" s="20">
        <f>IF($E38="","",VLOOKUP(D38,WORKSHEET!$J$4:$AM$396,23,FALSE))</f>
        <v>1</v>
      </c>
      <c r="L38" s="19">
        <f>IF($E38="","",VLOOKUP(D38,WORKSHEET!$J$4:$AM$396,24,FALSE))</f>
        <v>0</v>
      </c>
      <c r="M38" s="19">
        <f>IF($E38="","",VLOOKUP(D38,WORKSHEET!$J$4:$AM$396,25,FALSE))</f>
        <v>0</v>
      </c>
      <c r="N38" s="19">
        <f t="shared" si="16"/>
        <v>1</v>
      </c>
      <c r="O38" s="22">
        <f t="shared" si="17"/>
        <v>0.14285714285714285</v>
      </c>
      <c r="P38" s="23">
        <f>IF($E38="","",VLOOKUP(D38,WORKSHEET!$J$4:$AM$396,27,FALSE)+VLOOKUP(D38,WORKSHEET!$J$4:$AM$396,28,FALSE)+VLOOKUP(D38,WORKSHEET!$J$4:$AM$396,29,FALSE))</f>
        <v>2</v>
      </c>
      <c r="Q38" s="22">
        <f t="shared" si="18"/>
        <v>0.2857142857142857</v>
      </c>
    </row>
    <row r="39" spans="2:17" ht="17" customHeight="1" x14ac:dyDescent="0.2">
      <c r="B39" s="6" t="str">
        <f t="shared" si="12"/>
        <v>Nov 2024</v>
      </c>
      <c r="C39" s="6" t="s">
        <v>168</v>
      </c>
      <c r="D39" s="6" t="str">
        <f t="shared" si="13"/>
        <v>Nov 2024-WEST-25</v>
      </c>
      <c r="E39" s="18" t="str">
        <f>IFERROR(VLOOKUP(D39,WORKSHEET!$J$4:$AM$396,13,FALSE),"")</f>
        <v>Mercedes-Benz of San Diego</v>
      </c>
      <c r="F39" s="19">
        <f>IF($E39="","",VLOOKUP(D39,WORKSHEET!$J$4:$AM$396,14,FALSE))</f>
        <v>40</v>
      </c>
      <c r="G39" s="20">
        <f>IF($E39="","",VLOOKUP(D39,WORKSHEET!$J$4:$AM$396,15,FALSE))</f>
        <v>11</v>
      </c>
      <c r="H39" s="21">
        <f t="shared" si="14"/>
        <v>0.27500000000000002</v>
      </c>
      <c r="I39" s="19">
        <f>IF($E39="","",VLOOKUP(D39,WORKSHEET!$J$4:$AM$396,21,FALSE))</f>
        <v>22</v>
      </c>
      <c r="J39" s="21">
        <f t="shared" si="15"/>
        <v>0.55000000000000004</v>
      </c>
      <c r="K39" s="20">
        <f>IF($E39="","",VLOOKUP(D39,WORKSHEET!$J$4:$AM$396,23,FALSE))</f>
        <v>3</v>
      </c>
      <c r="L39" s="19">
        <f>IF($E39="","",VLOOKUP(D39,WORKSHEET!$J$4:$AM$396,24,FALSE))</f>
        <v>0</v>
      </c>
      <c r="M39" s="19">
        <f>IF($E39="","",VLOOKUP(D39,WORKSHEET!$J$4:$AM$396,25,FALSE))</f>
        <v>0</v>
      </c>
      <c r="N39" s="19">
        <f t="shared" si="16"/>
        <v>3</v>
      </c>
      <c r="O39" s="22">
        <f t="shared" si="17"/>
        <v>7.4999999999999997E-2</v>
      </c>
      <c r="P39" s="23">
        <f>IF($E39="","",VLOOKUP(D39,WORKSHEET!$J$4:$AM$396,27,FALSE)+VLOOKUP(D39,WORKSHEET!$J$4:$AM$396,28,FALSE)+VLOOKUP(D39,WORKSHEET!$J$4:$AM$396,29,FALSE))</f>
        <v>15</v>
      </c>
      <c r="Q39" s="22">
        <f t="shared" si="18"/>
        <v>0.375</v>
      </c>
    </row>
    <row r="40" spans="2:17" ht="17" customHeight="1" x14ac:dyDescent="0.2">
      <c r="B40" s="6" t="str">
        <f t="shared" si="12"/>
        <v>Nov 2024</v>
      </c>
      <c r="C40" s="6" t="s">
        <v>199</v>
      </c>
      <c r="D40" s="6" t="str">
        <f t="shared" si="13"/>
        <v>Nov 2024-WEST-26</v>
      </c>
      <c r="E40" s="18" t="str">
        <f>IFERROR(VLOOKUP(D40,WORKSHEET!$J$4:$AM$396,13,FALSE),"")</f>
        <v>Toyota of Pharr</v>
      </c>
      <c r="F40" s="19">
        <f>IF($E40="","",VLOOKUP(D40,WORKSHEET!$J$4:$AM$396,14,FALSE))</f>
        <v>44</v>
      </c>
      <c r="G40" s="20">
        <f>IF($E40="","",VLOOKUP(D40,WORKSHEET!$J$4:$AM$396,15,FALSE))</f>
        <v>12</v>
      </c>
      <c r="H40" s="21">
        <f t="shared" si="14"/>
        <v>0.27272727272727271</v>
      </c>
      <c r="I40" s="19">
        <f>IF($E40="","",VLOOKUP(D40,WORKSHEET!$J$4:$AM$396,21,FALSE))</f>
        <v>38</v>
      </c>
      <c r="J40" s="21">
        <f t="shared" si="15"/>
        <v>0.86363636363636365</v>
      </c>
      <c r="K40" s="20">
        <f>IF($E40="","",VLOOKUP(D40,WORKSHEET!$J$4:$AM$396,23,FALSE))</f>
        <v>0</v>
      </c>
      <c r="L40" s="19">
        <f>IF($E40="","",VLOOKUP(D40,WORKSHEET!$J$4:$AM$396,24,FALSE))</f>
        <v>1</v>
      </c>
      <c r="M40" s="19">
        <f>IF($E40="","",VLOOKUP(D40,WORKSHEET!$J$4:$AM$396,25,FALSE))</f>
        <v>0</v>
      </c>
      <c r="N40" s="19">
        <f t="shared" si="16"/>
        <v>1</v>
      </c>
      <c r="O40" s="22">
        <f t="shared" si="17"/>
        <v>2.2727272727272728E-2</v>
      </c>
      <c r="P40" s="23">
        <f>IF($E40="","",VLOOKUP(D40,WORKSHEET!$J$4:$AM$396,27,FALSE)+VLOOKUP(D40,WORKSHEET!$J$4:$AM$396,28,FALSE)+VLOOKUP(D40,WORKSHEET!$J$4:$AM$396,29,FALSE))</f>
        <v>5</v>
      </c>
      <c r="Q40" s="22">
        <f t="shared" si="18"/>
        <v>0.11363636363636363</v>
      </c>
    </row>
    <row r="41" spans="2:17" ht="17" customHeight="1" x14ac:dyDescent="0.2">
      <c r="B41" s="6" t="str">
        <f t="shared" si="12"/>
        <v>Nov 2024</v>
      </c>
      <c r="C41" s="6" t="s">
        <v>177</v>
      </c>
      <c r="D41" s="6" t="str">
        <f t="shared" si="13"/>
        <v>Nov 2024-WEST-27</v>
      </c>
      <c r="E41" s="18" t="str">
        <f>IFERROR(VLOOKUP(D41,WORKSHEET!$J$4:$AM$396,13,FALSE),"")</f>
        <v>Audi Chandler</v>
      </c>
      <c r="F41" s="19">
        <f>IF($E41="","",VLOOKUP(D41,WORKSHEET!$J$4:$AM$396,14,FALSE))</f>
        <v>4</v>
      </c>
      <c r="G41" s="20">
        <f>IF($E41="","",VLOOKUP(D41,WORKSHEET!$J$4:$AM$396,15,FALSE))</f>
        <v>1</v>
      </c>
      <c r="H41" s="21">
        <f t="shared" si="14"/>
        <v>0.25</v>
      </c>
      <c r="I41" s="19">
        <f>IF($E41="","",VLOOKUP(D41,WORKSHEET!$J$4:$AM$396,21,FALSE))</f>
        <v>1</v>
      </c>
      <c r="J41" s="21">
        <f t="shared" si="15"/>
        <v>0.25</v>
      </c>
      <c r="K41" s="20">
        <f>IF($E41="","",VLOOKUP(D41,WORKSHEET!$J$4:$AM$396,23,FALSE))</f>
        <v>0</v>
      </c>
      <c r="L41" s="19">
        <f>IF($E41="","",VLOOKUP(D41,WORKSHEET!$J$4:$AM$396,24,FALSE))</f>
        <v>0</v>
      </c>
      <c r="M41" s="19">
        <f>IF($E41="","",VLOOKUP(D41,WORKSHEET!$J$4:$AM$396,25,FALSE))</f>
        <v>0</v>
      </c>
      <c r="N41" s="19">
        <f t="shared" si="16"/>
        <v>0</v>
      </c>
      <c r="O41" s="22">
        <f t="shared" si="17"/>
        <v>0</v>
      </c>
      <c r="P41" s="23">
        <f>IF($E41="","",VLOOKUP(D41,WORKSHEET!$J$4:$AM$396,27,FALSE)+VLOOKUP(D41,WORKSHEET!$J$4:$AM$396,28,FALSE)+VLOOKUP(D41,WORKSHEET!$J$4:$AM$396,29,FALSE))</f>
        <v>3</v>
      </c>
      <c r="Q41" s="22">
        <f t="shared" si="18"/>
        <v>0.75</v>
      </c>
    </row>
    <row r="42" spans="2:17" ht="17" customHeight="1" x14ac:dyDescent="0.2">
      <c r="B42" s="6" t="str">
        <f t="shared" si="12"/>
        <v>Nov 2024</v>
      </c>
      <c r="C42" s="6" t="s">
        <v>172</v>
      </c>
      <c r="D42" s="6" t="str">
        <f t="shared" si="13"/>
        <v>Nov 2024-WEST-28</v>
      </c>
      <c r="E42" s="18" t="str">
        <f>IFERROR(VLOOKUP(D42,WORKSHEET!$J$4:$AM$396,13,FALSE),"")</f>
        <v>Hyundai of Pharr</v>
      </c>
      <c r="F42" s="19">
        <f>IF($E42="","",VLOOKUP(D42,WORKSHEET!$J$4:$AM$396,14,FALSE))</f>
        <v>4</v>
      </c>
      <c r="G42" s="20">
        <f>IF($E42="","",VLOOKUP(D42,WORKSHEET!$J$4:$AM$396,15,FALSE))</f>
        <v>1</v>
      </c>
      <c r="H42" s="21">
        <f t="shared" si="14"/>
        <v>0.25</v>
      </c>
      <c r="I42" s="19">
        <f>IF($E42="","",VLOOKUP(D42,WORKSHEET!$J$4:$AM$396,21,FALSE))</f>
        <v>1</v>
      </c>
      <c r="J42" s="21">
        <f t="shared" si="15"/>
        <v>0.25</v>
      </c>
      <c r="K42" s="20">
        <f>IF($E42="","",VLOOKUP(D42,WORKSHEET!$J$4:$AM$396,23,FALSE))</f>
        <v>3</v>
      </c>
      <c r="L42" s="19">
        <f>IF($E42="","",VLOOKUP(D42,WORKSHEET!$J$4:$AM$396,24,FALSE))</f>
        <v>0</v>
      </c>
      <c r="M42" s="19">
        <f>IF($E42="","",VLOOKUP(D42,WORKSHEET!$J$4:$AM$396,25,FALSE))</f>
        <v>0</v>
      </c>
      <c r="N42" s="19">
        <f t="shared" si="16"/>
        <v>3</v>
      </c>
      <c r="O42" s="22">
        <f t="shared" si="17"/>
        <v>0.75</v>
      </c>
      <c r="P42" s="23">
        <f>IF($E42="","",VLOOKUP(D42,WORKSHEET!$J$4:$AM$396,27,FALSE)+VLOOKUP(D42,WORKSHEET!$J$4:$AM$396,28,FALSE)+VLOOKUP(D42,WORKSHEET!$J$4:$AM$396,29,FALSE))</f>
        <v>0</v>
      </c>
      <c r="Q42" s="22">
        <f t="shared" si="18"/>
        <v>0</v>
      </c>
    </row>
    <row r="43" spans="2:17" ht="17" customHeight="1" x14ac:dyDescent="0.2">
      <c r="B43" s="6" t="str">
        <f t="shared" si="12"/>
        <v>Nov 2024</v>
      </c>
      <c r="C43" s="6" t="s">
        <v>211</v>
      </c>
      <c r="D43" s="6" t="str">
        <f t="shared" si="13"/>
        <v>Nov 2024-WEST-29</v>
      </c>
      <c r="E43" s="18" t="str">
        <f>IFERROR(VLOOKUP(D43,WORKSHEET!$J$4:$AM$396,13,FALSE),"")</f>
        <v>Toyota of Surprise</v>
      </c>
      <c r="F43" s="19">
        <f>IF($E43="","",VLOOKUP(D43,WORKSHEET!$J$4:$AM$396,14,FALSE))</f>
        <v>8</v>
      </c>
      <c r="G43" s="20">
        <f>IF($E43="","",VLOOKUP(D43,WORKSHEET!$J$4:$AM$396,15,FALSE))</f>
        <v>2</v>
      </c>
      <c r="H43" s="21">
        <f t="shared" si="14"/>
        <v>0.25</v>
      </c>
      <c r="I43" s="19">
        <f>IF($E43="","",VLOOKUP(D43,WORKSHEET!$J$4:$AM$396,21,FALSE))</f>
        <v>2</v>
      </c>
      <c r="J43" s="21">
        <f t="shared" si="15"/>
        <v>0.25</v>
      </c>
      <c r="K43" s="20">
        <f>IF($E43="","",VLOOKUP(D43,WORKSHEET!$J$4:$AM$396,23,FALSE))</f>
        <v>3</v>
      </c>
      <c r="L43" s="19">
        <f>IF($E43="","",VLOOKUP(D43,WORKSHEET!$J$4:$AM$396,24,FALSE))</f>
        <v>0</v>
      </c>
      <c r="M43" s="19">
        <f>IF($E43="","",VLOOKUP(D43,WORKSHEET!$J$4:$AM$396,25,FALSE))</f>
        <v>0</v>
      </c>
      <c r="N43" s="19">
        <f t="shared" si="16"/>
        <v>3</v>
      </c>
      <c r="O43" s="22">
        <f t="shared" si="17"/>
        <v>0.375</v>
      </c>
      <c r="P43" s="23">
        <f>IF($E43="","",VLOOKUP(D43,WORKSHEET!$J$4:$AM$396,27,FALSE)+VLOOKUP(D43,WORKSHEET!$J$4:$AM$396,28,FALSE)+VLOOKUP(D43,WORKSHEET!$J$4:$AM$396,29,FALSE))</f>
        <v>3</v>
      </c>
      <c r="Q43" s="22">
        <f t="shared" si="18"/>
        <v>0.375</v>
      </c>
    </row>
    <row r="44" spans="2:17" ht="17" customHeight="1" x14ac:dyDescent="0.2">
      <c r="B44" s="6" t="str">
        <f t="shared" si="12"/>
        <v>Nov 2024</v>
      </c>
      <c r="C44" s="6" t="s">
        <v>167</v>
      </c>
      <c r="D44" s="6" t="str">
        <f t="shared" si="13"/>
        <v>Nov 2024-WEST-30</v>
      </c>
      <c r="E44" s="18" t="str">
        <f>IFERROR(VLOOKUP(D44,WORKSHEET!$J$4:$AM$396,13,FALSE),"")</f>
        <v>BMW North Scottsdale</v>
      </c>
      <c r="F44" s="19">
        <f>IF($E44="","",VLOOKUP(D44,WORKSHEET!$J$4:$AM$396,14,FALSE))</f>
        <v>73</v>
      </c>
      <c r="G44" s="20">
        <f>IF($E44="","",VLOOKUP(D44,WORKSHEET!$J$4:$AM$396,15,FALSE))</f>
        <v>17</v>
      </c>
      <c r="H44" s="21">
        <f t="shared" si="14"/>
        <v>0.23287671232876711</v>
      </c>
      <c r="I44" s="19">
        <f>IF($E44="","",VLOOKUP(D44,WORKSHEET!$J$4:$AM$396,21,FALSE))</f>
        <v>40</v>
      </c>
      <c r="J44" s="21">
        <f t="shared" si="15"/>
        <v>0.54794520547945202</v>
      </c>
      <c r="K44" s="20">
        <f>IF($E44="","",VLOOKUP(D44,WORKSHEET!$J$4:$AM$396,23,FALSE))</f>
        <v>0</v>
      </c>
      <c r="L44" s="19">
        <f>IF($E44="","",VLOOKUP(D44,WORKSHEET!$J$4:$AM$396,24,FALSE))</f>
        <v>0</v>
      </c>
      <c r="M44" s="19">
        <f>IF($E44="","",VLOOKUP(D44,WORKSHEET!$J$4:$AM$396,25,FALSE))</f>
        <v>0</v>
      </c>
      <c r="N44" s="19">
        <f t="shared" si="16"/>
        <v>0</v>
      </c>
      <c r="O44" s="22">
        <f t="shared" si="17"/>
        <v>0</v>
      </c>
      <c r="P44" s="23">
        <f>IF($E44="","",VLOOKUP(D44,WORKSHEET!$J$4:$AM$396,27,FALSE)+VLOOKUP(D44,WORKSHEET!$J$4:$AM$396,28,FALSE)+VLOOKUP(D44,WORKSHEET!$J$4:$AM$396,29,FALSE))</f>
        <v>33</v>
      </c>
      <c r="Q44" s="22">
        <f t="shared" si="18"/>
        <v>0.45205479452054792</v>
      </c>
    </row>
    <row r="45" spans="2:17" ht="17" customHeight="1" x14ac:dyDescent="0.2">
      <c r="B45" s="6" t="str">
        <f t="shared" si="12"/>
        <v>Nov 2024</v>
      </c>
      <c r="C45" s="6" t="s">
        <v>196</v>
      </c>
      <c r="D45" s="6" t="str">
        <f t="shared" si="13"/>
        <v>Nov 2024-WEST-31</v>
      </c>
      <c r="E45" s="18" t="str">
        <f>IFERROR(VLOOKUP(D45,WORKSHEET!$J$4:$AM$396,13,FALSE),"")</f>
        <v>Toyota of Clovis</v>
      </c>
      <c r="F45" s="19">
        <f>IF($E45="","",VLOOKUP(D45,WORKSHEET!$J$4:$AM$396,14,FALSE))</f>
        <v>9</v>
      </c>
      <c r="G45" s="20">
        <f>IF($E45="","",VLOOKUP(D45,WORKSHEET!$J$4:$AM$396,15,FALSE))</f>
        <v>2</v>
      </c>
      <c r="H45" s="21">
        <f t="shared" si="14"/>
        <v>0.22222222222222221</v>
      </c>
      <c r="I45" s="19">
        <f>IF($E45="","",VLOOKUP(D45,WORKSHEET!$J$4:$AM$396,21,FALSE))</f>
        <v>6</v>
      </c>
      <c r="J45" s="21">
        <f t="shared" si="15"/>
        <v>0.66666666666666663</v>
      </c>
      <c r="K45" s="20">
        <f>IF($E45="","",VLOOKUP(D45,WORKSHEET!$J$4:$AM$396,23,FALSE))</f>
        <v>1</v>
      </c>
      <c r="L45" s="19">
        <f>IF($E45="","",VLOOKUP(D45,WORKSHEET!$J$4:$AM$396,24,FALSE))</f>
        <v>0</v>
      </c>
      <c r="M45" s="19">
        <f>IF($E45="","",VLOOKUP(D45,WORKSHEET!$J$4:$AM$396,25,FALSE))</f>
        <v>0</v>
      </c>
      <c r="N45" s="19">
        <f t="shared" si="16"/>
        <v>1</v>
      </c>
      <c r="O45" s="22">
        <f t="shared" si="17"/>
        <v>0.1111111111111111</v>
      </c>
      <c r="P45" s="23">
        <f>IF($E45="","",VLOOKUP(D45,WORKSHEET!$J$4:$AM$396,27,FALSE)+VLOOKUP(D45,WORKSHEET!$J$4:$AM$396,28,FALSE)+VLOOKUP(D45,WORKSHEET!$J$4:$AM$396,29,FALSE))</f>
        <v>2</v>
      </c>
      <c r="Q45" s="22">
        <f t="shared" si="18"/>
        <v>0.22222222222222221</v>
      </c>
    </row>
    <row r="46" spans="2:17" ht="17" customHeight="1" x14ac:dyDescent="0.2">
      <c r="B46" s="6" t="str">
        <f t="shared" si="12"/>
        <v>Nov 2024</v>
      </c>
      <c r="C46" s="6" t="s">
        <v>206</v>
      </c>
      <c r="D46" s="6" t="str">
        <f t="shared" si="13"/>
        <v>Nov 2024-WEST-32</v>
      </c>
      <c r="E46" s="18" t="str">
        <f>IFERROR(VLOOKUP(D46,WORKSHEET!$J$4:$AM$396,13,FALSE),"")</f>
        <v>Capitol Honda</v>
      </c>
      <c r="F46" s="19">
        <f>IF($E46="","",VLOOKUP(D46,WORKSHEET!$J$4:$AM$396,14,FALSE))</f>
        <v>14</v>
      </c>
      <c r="G46" s="20">
        <f>IF($E46="","",VLOOKUP(D46,WORKSHEET!$J$4:$AM$396,15,FALSE))</f>
        <v>3</v>
      </c>
      <c r="H46" s="21">
        <f t="shared" si="14"/>
        <v>0.21428571428571427</v>
      </c>
      <c r="I46" s="19">
        <f>IF($E46="","",VLOOKUP(D46,WORKSHEET!$J$4:$AM$396,21,FALSE))</f>
        <v>11</v>
      </c>
      <c r="J46" s="21">
        <f t="shared" si="15"/>
        <v>0.7857142857142857</v>
      </c>
      <c r="K46" s="20">
        <f>IF($E46="","",VLOOKUP(D46,WORKSHEET!$J$4:$AM$396,23,FALSE))</f>
        <v>3</v>
      </c>
      <c r="L46" s="19">
        <f>IF($E46="","",VLOOKUP(D46,WORKSHEET!$J$4:$AM$396,24,FALSE))</f>
        <v>0</v>
      </c>
      <c r="M46" s="19">
        <f>IF($E46="","",VLOOKUP(D46,WORKSHEET!$J$4:$AM$396,25,FALSE))</f>
        <v>0</v>
      </c>
      <c r="N46" s="19">
        <f t="shared" si="16"/>
        <v>3</v>
      </c>
      <c r="O46" s="22">
        <f t="shared" si="17"/>
        <v>0.21428571428571427</v>
      </c>
      <c r="P46" s="23">
        <f>IF($E46="","",VLOOKUP(D46,WORKSHEET!$J$4:$AM$396,27,FALSE)+VLOOKUP(D46,WORKSHEET!$J$4:$AM$396,28,FALSE)+VLOOKUP(D46,WORKSHEET!$J$4:$AM$396,29,FALSE))</f>
        <v>0</v>
      </c>
      <c r="Q46" s="22">
        <f t="shared" si="18"/>
        <v>0</v>
      </c>
    </row>
    <row r="47" spans="2:17" ht="17" customHeight="1" x14ac:dyDescent="0.2">
      <c r="B47" s="6" t="str">
        <f t="shared" si="12"/>
        <v>Nov 2024</v>
      </c>
      <c r="C47" s="6" t="s">
        <v>208</v>
      </c>
      <c r="D47" s="6" t="str">
        <f t="shared" si="13"/>
        <v>Nov 2024-WEST-33</v>
      </c>
      <c r="E47" s="18" t="str">
        <f>IFERROR(VLOOKUP(D47,WORKSHEET!$J$4:$AM$396,13,FALSE),"")</f>
        <v>Volkswagen North Scottsdale</v>
      </c>
      <c r="F47" s="19">
        <f>IF($E47="","",VLOOKUP(D47,WORKSHEET!$J$4:$AM$396,14,FALSE))</f>
        <v>16</v>
      </c>
      <c r="G47" s="20">
        <f>IF($E47="","",VLOOKUP(D47,WORKSHEET!$J$4:$AM$396,15,FALSE))</f>
        <v>3</v>
      </c>
      <c r="H47" s="21">
        <f t="shared" si="14"/>
        <v>0.1875</v>
      </c>
      <c r="I47" s="19">
        <f>IF($E47="","",VLOOKUP(D47,WORKSHEET!$J$4:$AM$396,21,FALSE))</f>
        <v>6</v>
      </c>
      <c r="J47" s="21">
        <f t="shared" si="15"/>
        <v>0.375</v>
      </c>
      <c r="K47" s="20">
        <f>IF($E47="","",VLOOKUP(D47,WORKSHEET!$J$4:$AM$396,23,FALSE))</f>
        <v>0</v>
      </c>
      <c r="L47" s="19">
        <f>IF($E47="","",VLOOKUP(D47,WORKSHEET!$J$4:$AM$396,24,FALSE))</f>
        <v>0</v>
      </c>
      <c r="M47" s="19">
        <f>IF($E47="","",VLOOKUP(D47,WORKSHEET!$J$4:$AM$396,25,FALSE))</f>
        <v>0</v>
      </c>
      <c r="N47" s="19">
        <f t="shared" si="16"/>
        <v>0</v>
      </c>
      <c r="O47" s="22">
        <f t="shared" si="17"/>
        <v>0</v>
      </c>
      <c r="P47" s="23">
        <f>IF($E47="","",VLOOKUP(D47,WORKSHEET!$J$4:$AM$396,27,FALSE)+VLOOKUP(D47,WORKSHEET!$J$4:$AM$396,28,FALSE)+VLOOKUP(D47,WORKSHEET!$J$4:$AM$396,29,FALSE))</f>
        <v>10</v>
      </c>
      <c r="Q47" s="22">
        <f t="shared" si="18"/>
        <v>0.625</v>
      </c>
    </row>
    <row r="48" spans="2:17" ht="17" customHeight="1" x14ac:dyDescent="0.2">
      <c r="B48" s="6" t="str">
        <f t="shared" si="12"/>
        <v>Nov 2024</v>
      </c>
      <c r="C48" s="6" t="s">
        <v>198</v>
      </c>
      <c r="D48" s="6" t="str">
        <f t="shared" si="13"/>
        <v>Nov 2024-WEST-34</v>
      </c>
      <c r="E48" s="18" t="str">
        <f>IFERROR(VLOOKUP(D48,WORKSHEET!$J$4:$AM$396,13,FALSE),"")</f>
        <v>BMW/MINI of Escondido</v>
      </c>
      <c r="F48" s="19">
        <f>IF($E48="","",VLOOKUP(D48,WORKSHEET!$J$4:$AM$396,14,FALSE))</f>
        <v>19</v>
      </c>
      <c r="G48" s="20">
        <f>IF($E48="","",VLOOKUP(D48,WORKSHEET!$J$4:$AM$396,15,FALSE))</f>
        <v>3</v>
      </c>
      <c r="H48" s="21">
        <f t="shared" si="14"/>
        <v>0.15789473684210525</v>
      </c>
      <c r="I48" s="19">
        <f>IF($E48="","",VLOOKUP(D48,WORKSHEET!$J$4:$AM$396,21,FALSE))</f>
        <v>6</v>
      </c>
      <c r="J48" s="21">
        <f t="shared" si="15"/>
        <v>0.31578947368421051</v>
      </c>
      <c r="K48" s="20">
        <f>IF($E48="","",VLOOKUP(D48,WORKSHEET!$J$4:$AM$396,23,FALSE))</f>
        <v>4</v>
      </c>
      <c r="L48" s="19">
        <f>IF($E48="","",VLOOKUP(D48,WORKSHEET!$J$4:$AM$396,24,FALSE))</f>
        <v>4</v>
      </c>
      <c r="M48" s="19">
        <f>IF($E48="","",VLOOKUP(D48,WORKSHEET!$J$4:$AM$396,25,FALSE))</f>
        <v>4</v>
      </c>
      <c r="N48" s="19">
        <f t="shared" si="16"/>
        <v>12</v>
      </c>
      <c r="O48" s="22">
        <f t="shared" si="17"/>
        <v>0.63157894736842102</v>
      </c>
      <c r="P48" s="23">
        <f>IF($E48="","",VLOOKUP(D48,WORKSHEET!$J$4:$AM$396,27,FALSE)+VLOOKUP(D48,WORKSHEET!$J$4:$AM$396,28,FALSE)+VLOOKUP(D48,WORKSHEET!$J$4:$AM$396,29,FALSE))</f>
        <v>1</v>
      </c>
      <c r="Q48" s="22">
        <f t="shared" si="18"/>
        <v>5.2631578947368418E-2</v>
      </c>
    </row>
    <row r="49" spans="2:17" ht="17" customHeight="1" x14ac:dyDescent="0.2">
      <c r="B49" s="6" t="str">
        <f t="shared" si="12"/>
        <v>Nov 2024</v>
      </c>
      <c r="C49" s="6" t="s">
        <v>209</v>
      </c>
      <c r="D49" s="6" t="str">
        <f t="shared" si="13"/>
        <v>Nov 2024-WEST-35</v>
      </c>
      <c r="E49" s="18" t="str">
        <f>IFERROR(VLOOKUP(D49,WORKSHEET!$J$4:$AM$396,13,FALSE),"")</f>
        <v>MINI of San Diego</v>
      </c>
      <c r="F49" s="19">
        <f>IF($E49="","",VLOOKUP(D49,WORKSHEET!$J$4:$AM$396,14,FALSE))</f>
        <v>13</v>
      </c>
      <c r="G49" s="20">
        <f>IF($E49="","",VLOOKUP(D49,WORKSHEET!$J$4:$AM$396,15,FALSE))</f>
        <v>2</v>
      </c>
      <c r="H49" s="21">
        <f t="shared" si="14"/>
        <v>0.15384615384615385</v>
      </c>
      <c r="I49" s="19">
        <f>IF($E49="","",VLOOKUP(D49,WORKSHEET!$J$4:$AM$396,21,FALSE))</f>
        <v>5</v>
      </c>
      <c r="J49" s="21">
        <f t="shared" si="15"/>
        <v>0.38461538461538464</v>
      </c>
      <c r="K49" s="20">
        <f>IF($E49="","",VLOOKUP(D49,WORKSHEET!$J$4:$AM$396,23,FALSE))</f>
        <v>3</v>
      </c>
      <c r="L49" s="19">
        <f>IF($E49="","",VLOOKUP(D49,WORKSHEET!$J$4:$AM$396,24,FALSE))</f>
        <v>1</v>
      </c>
      <c r="M49" s="19">
        <f>IF($E49="","",VLOOKUP(D49,WORKSHEET!$J$4:$AM$396,25,FALSE))</f>
        <v>0</v>
      </c>
      <c r="N49" s="19">
        <f t="shared" si="16"/>
        <v>4</v>
      </c>
      <c r="O49" s="22">
        <f t="shared" si="17"/>
        <v>0.30769230769230771</v>
      </c>
      <c r="P49" s="23">
        <f>IF($E49="","",VLOOKUP(D49,WORKSHEET!$J$4:$AM$396,27,FALSE)+VLOOKUP(D49,WORKSHEET!$J$4:$AM$396,28,FALSE)+VLOOKUP(D49,WORKSHEET!$J$4:$AM$396,29,FALSE))</f>
        <v>4</v>
      </c>
      <c r="Q49" s="22">
        <f t="shared" si="18"/>
        <v>0.30769230769230771</v>
      </c>
    </row>
    <row r="50" spans="2:17" ht="17" customHeight="1" x14ac:dyDescent="0.2">
      <c r="B50" s="6" t="str">
        <f t="shared" si="12"/>
        <v>Nov 2024</v>
      </c>
      <c r="C50" s="6" t="s">
        <v>169</v>
      </c>
      <c r="D50" s="6" t="str">
        <f t="shared" si="13"/>
        <v>Nov 2024-WEST-36</v>
      </c>
      <c r="E50" s="18" t="str">
        <f>IFERROR(VLOOKUP(D50,WORKSHEET!$J$4:$AM$396,13,FALSE),"")</f>
        <v>Acura of Escondido</v>
      </c>
      <c r="F50" s="19">
        <f>IF($E50="","",VLOOKUP(D50,WORKSHEET!$J$4:$AM$396,14,FALSE))</f>
        <v>7</v>
      </c>
      <c r="G50" s="20">
        <f>IF($E50="","",VLOOKUP(D50,WORKSHEET!$J$4:$AM$396,15,FALSE))</f>
        <v>1</v>
      </c>
      <c r="H50" s="21">
        <f t="shared" si="14"/>
        <v>0.14285714285714285</v>
      </c>
      <c r="I50" s="19">
        <f>IF($E50="","",VLOOKUP(D50,WORKSHEET!$J$4:$AM$396,21,FALSE))</f>
        <v>5</v>
      </c>
      <c r="J50" s="21">
        <f t="shared" si="15"/>
        <v>0.7142857142857143</v>
      </c>
      <c r="K50" s="20">
        <f>IF($E50="","",VLOOKUP(D50,WORKSHEET!$J$4:$AM$396,23,FALSE))</f>
        <v>0</v>
      </c>
      <c r="L50" s="19">
        <f>IF($E50="","",VLOOKUP(D50,WORKSHEET!$J$4:$AM$396,24,FALSE))</f>
        <v>0</v>
      </c>
      <c r="M50" s="19">
        <f>IF($E50="","",VLOOKUP(D50,WORKSHEET!$J$4:$AM$396,25,FALSE))</f>
        <v>0</v>
      </c>
      <c r="N50" s="19">
        <f t="shared" si="16"/>
        <v>0</v>
      </c>
      <c r="O50" s="22">
        <f t="shared" si="17"/>
        <v>0</v>
      </c>
      <c r="P50" s="23">
        <f>IF($E50="","",VLOOKUP(D50,WORKSHEET!$J$4:$AM$396,27,FALSE)+VLOOKUP(D50,WORKSHEET!$J$4:$AM$396,28,FALSE)+VLOOKUP(D50,WORKSHEET!$J$4:$AM$396,29,FALSE))</f>
        <v>2</v>
      </c>
      <c r="Q50" s="22">
        <f t="shared" si="18"/>
        <v>0.2857142857142857</v>
      </c>
    </row>
    <row r="51" spans="2:17" ht="17" customHeight="1" x14ac:dyDescent="0.2">
      <c r="B51" s="6" t="str">
        <f t="shared" si="12"/>
        <v>Nov 2024</v>
      </c>
      <c r="C51" s="6" t="s">
        <v>174</v>
      </c>
      <c r="D51" s="6" t="str">
        <f t="shared" si="13"/>
        <v>Nov 2024-WEST-37</v>
      </c>
      <c r="E51" s="18" t="str">
        <f>IFERROR(VLOOKUP(D51,WORKSHEET!$J$4:$AM$396,13,FALSE),"")</f>
        <v>Kearny Mesa Toyota</v>
      </c>
      <c r="F51" s="19">
        <f>IF($E51="","",VLOOKUP(D51,WORKSHEET!$J$4:$AM$396,14,FALSE))</f>
        <v>7</v>
      </c>
      <c r="G51" s="20">
        <f>IF($E51="","",VLOOKUP(D51,WORKSHEET!$J$4:$AM$396,15,FALSE))</f>
        <v>1</v>
      </c>
      <c r="H51" s="21">
        <f t="shared" si="14"/>
        <v>0.14285714285714285</v>
      </c>
      <c r="I51" s="19">
        <f>IF($E51="","",VLOOKUP(D51,WORKSHEET!$J$4:$AM$396,21,FALSE))</f>
        <v>5</v>
      </c>
      <c r="J51" s="21">
        <f t="shared" si="15"/>
        <v>0.7142857142857143</v>
      </c>
      <c r="K51" s="20">
        <f>IF($E51="","",VLOOKUP(D51,WORKSHEET!$J$4:$AM$396,23,FALSE))</f>
        <v>2</v>
      </c>
      <c r="L51" s="19">
        <f>IF($E51="","",VLOOKUP(D51,WORKSHEET!$J$4:$AM$396,24,FALSE))</f>
        <v>0</v>
      </c>
      <c r="M51" s="19">
        <f>IF($E51="","",VLOOKUP(D51,WORKSHEET!$J$4:$AM$396,25,FALSE))</f>
        <v>0</v>
      </c>
      <c r="N51" s="19">
        <f t="shared" si="16"/>
        <v>2</v>
      </c>
      <c r="O51" s="22">
        <f t="shared" si="17"/>
        <v>0.2857142857142857</v>
      </c>
      <c r="P51" s="23">
        <f>IF($E51="","",VLOOKUP(D51,WORKSHEET!$J$4:$AM$396,27,FALSE)+VLOOKUP(D51,WORKSHEET!$J$4:$AM$396,28,FALSE)+VLOOKUP(D51,WORKSHEET!$J$4:$AM$396,29,FALSE))</f>
        <v>0</v>
      </c>
      <c r="Q51" s="22">
        <f t="shared" si="18"/>
        <v>0</v>
      </c>
    </row>
    <row r="52" spans="2:17" ht="17" customHeight="1" x14ac:dyDescent="0.2">
      <c r="B52" s="6" t="str">
        <f t="shared" si="12"/>
        <v>Nov 2024</v>
      </c>
      <c r="C52" s="6" t="s">
        <v>215</v>
      </c>
      <c r="D52" s="6" t="str">
        <f t="shared" si="13"/>
        <v>Nov 2024-WEST-38</v>
      </c>
      <c r="E52" s="18" t="str">
        <f>IFERROR(VLOOKUP(D52,WORKSHEET!$J$4:$AM$396,13,FALSE),"")</f>
        <v>Mercedes-Benz of Chandler</v>
      </c>
      <c r="F52" s="19">
        <f>IF($E52="","",VLOOKUP(D52,WORKSHEET!$J$4:$AM$396,14,FALSE))</f>
        <v>8</v>
      </c>
      <c r="G52" s="20">
        <f>IF($E52="","",VLOOKUP(D52,WORKSHEET!$J$4:$AM$396,15,FALSE))</f>
        <v>1</v>
      </c>
      <c r="H52" s="21">
        <f t="shared" si="14"/>
        <v>0.125</v>
      </c>
      <c r="I52" s="19">
        <f>IF($E52="","",VLOOKUP(D52,WORKSHEET!$J$4:$AM$396,21,FALSE))</f>
        <v>4</v>
      </c>
      <c r="J52" s="21">
        <f t="shared" si="15"/>
        <v>0.5</v>
      </c>
      <c r="K52" s="20">
        <f>IF($E52="","",VLOOKUP(D52,WORKSHEET!$J$4:$AM$396,23,FALSE))</f>
        <v>0</v>
      </c>
      <c r="L52" s="19">
        <f>IF($E52="","",VLOOKUP(D52,WORKSHEET!$J$4:$AM$396,24,FALSE))</f>
        <v>0</v>
      </c>
      <c r="M52" s="19">
        <f>IF($E52="","",VLOOKUP(D52,WORKSHEET!$J$4:$AM$396,25,FALSE))</f>
        <v>0</v>
      </c>
      <c r="N52" s="19">
        <f t="shared" si="16"/>
        <v>0</v>
      </c>
      <c r="O52" s="22">
        <f t="shared" si="17"/>
        <v>0</v>
      </c>
      <c r="P52" s="23">
        <f>IF($E52="","",VLOOKUP(D52,WORKSHEET!$J$4:$AM$396,27,FALSE)+VLOOKUP(D52,WORKSHEET!$J$4:$AM$396,28,FALSE)+VLOOKUP(D52,WORKSHEET!$J$4:$AM$396,29,FALSE))</f>
        <v>4</v>
      </c>
      <c r="Q52" s="22">
        <f t="shared" si="18"/>
        <v>0.5</v>
      </c>
    </row>
    <row r="53" spans="2:17" ht="17" customHeight="1" x14ac:dyDescent="0.2">
      <c r="B53" s="6" t="str">
        <f t="shared" si="12"/>
        <v>Nov 2024</v>
      </c>
      <c r="C53" s="6" t="s">
        <v>192</v>
      </c>
      <c r="D53" s="6" t="str">
        <f t="shared" si="13"/>
        <v>Nov 2024-WEST-39</v>
      </c>
      <c r="E53" s="18" t="str">
        <f>IFERROR(VLOOKUP(D53,WORKSHEET!$J$4:$AM$396,13,FALSE),"")</f>
        <v>Porsche Stevens Creek</v>
      </c>
      <c r="F53" s="19">
        <f>IF($E53="","",VLOOKUP(D53,WORKSHEET!$J$4:$AM$396,14,FALSE))</f>
        <v>16</v>
      </c>
      <c r="G53" s="20">
        <f>IF($E53="","",VLOOKUP(D53,WORKSHEET!$J$4:$AM$396,15,FALSE))</f>
        <v>1</v>
      </c>
      <c r="H53" s="21">
        <f t="shared" si="14"/>
        <v>6.25E-2</v>
      </c>
      <c r="I53" s="19">
        <f>IF($E53="","",VLOOKUP(D53,WORKSHEET!$J$4:$AM$396,21,FALSE))</f>
        <v>13</v>
      </c>
      <c r="J53" s="21">
        <f t="shared" si="15"/>
        <v>0.8125</v>
      </c>
      <c r="K53" s="20">
        <f>IF($E53="","",VLOOKUP(D53,WORKSHEET!$J$4:$AM$396,23,FALSE))</f>
        <v>2</v>
      </c>
      <c r="L53" s="19">
        <f>IF($E53="","",VLOOKUP(D53,WORKSHEET!$J$4:$AM$396,24,FALSE))</f>
        <v>0</v>
      </c>
      <c r="M53" s="19">
        <f>IF($E53="","",VLOOKUP(D53,WORKSHEET!$J$4:$AM$396,25,FALSE))</f>
        <v>0</v>
      </c>
      <c r="N53" s="19">
        <f t="shared" si="16"/>
        <v>2</v>
      </c>
      <c r="O53" s="22">
        <f t="shared" si="17"/>
        <v>0.125</v>
      </c>
      <c r="P53" s="23">
        <f>IF($E53="","",VLOOKUP(D53,WORKSHEET!$J$4:$AM$396,27,FALSE)+VLOOKUP(D53,WORKSHEET!$J$4:$AM$396,28,FALSE)+VLOOKUP(D53,WORKSHEET!$J$4:$AM$396,29,FALSE))</f>
        <v>1</v>
      </c>
      <c r="Q53" s="22">
        <f t="shared" si="18"/>
        <v>6.25E-2</v>
      </c>
    </row>
    <row r="54" spans="2:17" ht="17" customHeight="1" x14ac:dyDescent="0.2">
      <c r="B54" s="6" t="str">
        <f t="shared" si="12"/>
        <v>Nov 2024</v>
      </c>
      <c r="C54" s="6" t="s">
        <v>216</v>
      </c>
      <c r="D54" s="6" t="str">
        <f t="shared" si="13"/>
        <v>Nov 2024-WEST-40</v>
      </c>
      <c r="E54" s="18" t="str">
        <f>IFERROR(VLOOKUP(D54,WORKSHEET!$J$4:$AM$396,13,FALSE),"")</f>
        <v>Volkswagen South Coast</v>
      </c>
      <c r="F54" s="19">
        <f>IF($E54="","",VLOOKUP(D54,WORKSHEET!$J$4:$AM$396,14,FALSE))</f>
        <v>39</v>
      </c>
      <c r="G54" s="20">
        <f>IF($E54="","",VLOOKUP(D54,WORKSHEET!$J$4:$AM$396,15,FALSE))</f>
        <v>2</v>
      </c>
      <c r="H54" s="21">
        <f t="shared" si="14"/>
        <v>5.128205128205128E-2</v>
      </c>
      <c r="I54" s="19">
        <f>IF($E54="","",VLOOKUP(D54,WORKSHEET!$J$4:$AM$396,21,FALSE))</f>
        <v>22</v>
      </c>
      <c r="J54" s="21">
        <f t="shared" si="15"/>
        <v>0.5641025641025641</v>
      </c>
      <c r="K54" s="20">
        <f>IF($E54="","",VLOOKUP(D54,WORKSHEET!$J$4:$AM$396,23,FALSE))</f>
        <v>0</v>
      </c>
      <c r="L54" s="19">
        <f>IF($E54="","",VLOOKUP(D54,WORKSHEET!$J$4:$AM$396,24,FALSE))</f>
        <v>0</v>
      </c>
      <c r="M54" s="19">
        <f>IF($E54="","",VLOOKUP(D54,WORKSHEET!$J$4:$AM$396,25,FALSE))</f>
        <v>0</v>
      </c>
      <c r="N54" s="19">
        <f t="shared" si="16"/>
        <v>0</v>
      </c>
      <c r="O54" s="22">
        <f t="shared" si="17"/>
        <v>0</v>
      </c>
      <c r="P54" s="23">
        <f>IF($E54="","",VLOOKUP(D54,WORKSHEET!$J$4:$AM$396,27,FALSE)+VLOOKUP(D54,WORKSHEET!$J$4:$AM$396,28,FALSE)+VLOOKUP(D54,WORKSHEET!$J$4:$AM$396,29,FALSE))</f>
        <v>17</v>
      </c>
      <c r="Q54" s="22">
        <f t="shared" si="18"/>
        <v>0.4358974358974359</v>
      </c>
    </row>
    <row r="55" spans="2:17" ht="17" customHeight="1" x14ac:dyDescent="0.2">
      <c r="B55" s="6" t="str">
        <f t="shared" si="12"/>
        <v>Nov 2024</v>
      </c>
      <c r="C55" s="6" t="s">
        <v>184</v>
      </c>
      <c r="D55" s="6" t="str">
        <f t="shared" si="13"/>
        <v>Nov 2024-WEST-41</v>
      </c>
      <c r="E55" s="18" t="str">
        <f>IFERROR(VLOOKUP(D55,WORKSHEET!$J$4:$AM$396,13,FALSE),"")</f>
        <v>Audi North OC</v>
      </c>
      <c r="F55" s="19">
        <f>IF($E55="","",VLOOKUP(D55,WORKSHEET!$J$4:$AM$396,14,FALSE))</f>
        <v>2</v>
      </c>
      <c r="G55" s="20">
        <f>IF($E55="","",VLOOKUP(D55,WORKSHEET!$J$4:$AM$396,15,FALSE))</f>
        <v>0</v>
      </c>
      <c r="H55" s="21">
        <f t="shared" si="14"/>
        <v>0</v>
      </c>
      <c r="I55" s="19">
        <f>IF($E55="","",VLOOKUP(D55,WORKSHEET!$J$4:$AM$396,21,FALSE))</f>
        <v>1</v>
      </c>
      <c r="J55" s="21">
        <f t="shared" si="15"/>
        <v>0.5</v>
      </c>
      <c r="K55" s="20">
        <f>IF($E55="","",VLOOKUP(D55,WORKSHEET!$J$4:$AM$396,23,FALSE))</f>
        <v>0</v>
      </c>
      <c r="L55" s="19">
        <f>IF($E55="","",VLOOKUP(D55,WORKSHEET!$J$4:$AM$396,24,FALSE))</f>
        <v>0</v>
      </c>
      <c r="M55" s="19">
        <f>IF($E55="","",VLOOKUP(D55,WORKSHEET!$J$4:$AM$396,25,FALSE))</f>
        <v>0</v>
      </c>
      <c r="N55" s="19">
        <f t="shared" si="16"/>
        <v>0</v>
      </c>
      <c r="O55" s="22">
        <f t="shared" si="17"/>
        <v>0</v>
      </c>
      <c r="P55" s="23">
        <f>IF($E55="","",VLOOKUP(D55,WORKSHEET!$J$4:$AM$396,27,FALSE)+VLOOKUP(D55,WORKSHEET!$J$4:$AM$396,28,FALSE)+VLOOKUP(D55,WORKSHEET!$J$4:$AM$396,29,FALSE))</f>
        <v>1</v>
      </c>
      <c r="Q55" s="22">
        <f t="shared" si="18"/>
        <v>0.5</v>
      </c>
    </row>
    <row r="56" spans="2:17" ht="17" customHeight="1" x14ac:dyDescent="0.2">
      <c r="B56" s="6" t="str">
        <f t="shared" si="12"/>
        <v>Nov 2024</v>
      </c>
      <c r="C56" s="6" t="s">
        <v>194</v>
      </c>
      <c r="D56" s="6" t="str">
        <f t="shared" si="13"/>
        <v>Nov 2024-WEST-42</v>
      </c>
      <c r="E56" s="18" t="str">
        <f>IFERROR(VLOOKUP(D56,WORKSHEET!$J$4:$AM$396,13,FALSE),"")</f>
        <v>Bentley Scottsdale</v>
      </c>
      <c r="F56" s="19">
        <f>IF($E56="","",VLOOKUP(D56,WORKSHEET!$J$4:$AM$396,14,FALSE))</f>
        <v>1</v>
      </c>
      <c r="G56" s="20">
        <f>IF($E56="","",VLOOKUP(D56,WORKSHEET!$J$4:$AM$396,15,FALSE))</f>
        <v>0</v>
      </c>
      <c r="H56" s="21">
        <f t="shared" si="14"/>
        <v>0</v>
      </c>
      <c r="I56" s="19">
        <f>IF($E56="","",VLOOKUP(D56,WORKSHEET!$J$4:$AM$396,21,FALSE))</f>
        <v>0</v>
      </c>
      <c r="J56" s="21">
        <f t="shared" si="15"/>
        <v>0</v>
      </c>
      <c r="K56" s="20">
        <f>IF($E56="","",VLOOKUP(D56,WORKSHEET!$J$4:$AM$396,23,FALSE))</f>
        <v>1</v>
      </c>
      <c r="L56" s="19">
        <f>IF($E56="","",VLOOKUP(D56,WORKSHEET!$J$4:$AM$396,24,FALSE))</f>
        <v>0</v>
      </c>
      <c r="M56" s="19">
        <f>IF($E56="","",VLOOKUP(D56,WORKSHEET!$J$4:$AM$396,25,FALSE))</f>
        <v>0</v>
      </c>
      <c r="N56" s="19">
        <f t="shared" si="16"/>
        <v>1</v>
      </c>
      <c r="O56" s="22">
        <f t="shared" si="17"/>
        <v>1</v>
      </c>
      <c r="P56" s="23">
        <f>IF($E56="","",VLOOKUP(D56,WORKSHEET!$J$4:$AM$396,27,FALSE)+VLOOKUP(D56,WORKSHEET!$J$4:$AM$396,28,FALSE)+VLOOKUP(D56,WORKSHEET!$J$4:$AM$396,29,FALSE))</f>
        <v>0</v>
      </c>
      <c r="Q56" s="22">
        <f t="shared" si="18"/>
        <v>0</v>
      </c>
    </row>
    <row r="57" spans="2:17" ht="17" customHeight="1" x14ac:dyDescent="0.2">
      <c r="B57" s="6" t="str">
        <f t="shared" si="12"/>
        <v>Nov 2024</v>
      </c>
      <c r="C57" s="6" t="s">
        <v>178</v>
      </c>
      <c r="D57" s="6" t="str">
        <f t="shared" si="13"/>
        <v>Nov 2024-WEST-43</v>
      </c>
      <c r="E57" s="18" t="str">
        <f>IFERROR(VLOOKUP(D57,WORKSHEET!$J$4:$AM$396,13,FALSE),"")</f>
        <v>Kearny Mesa Acura</v>
      </c>
      <c r="F57" s="19">
        <f>IF($E57="","",VLOOKUP(D57,WORKSHEET!$J$4:$AM$396,14,FALSE))</f>
        <v>3</v>
      </c>
      <c r="G57" s="20">
        <f>IF($E57="","",VLOOKUP(D57,WORKSHEET!$J$4:$AM$396,15,FALSE))</f>
        <v>0</v>
      </c>
      <c r="H57" s="21">
        <f t="shared" si="14"/>
        <v>0</v>
      </c>
      <c r="I57" s="19">
        <f>IF($E57="","",VLOOKUP(D57,WORKSHEET!$J$4:$AM$396,21,FALSE))</f>
        <v>2</v>
      </c>
      <c r="J57" s="21">
        <f t="shared" si="15"/>
        <v>0.66666666666666663</v>
      </c>
      <c r="K57" s="20">
        <f>IF($E57="","",VLOOKUP(D57,WORKSHEET!$J$4:$AM$396,23,FALSE))</f>
        <v>0</v>
      </c>
      <c r="L57" s="19">
        <f>IF($E57="","",VLOOKUP(D57,WORKSHEET!$J$4:$AM$396,24,FALSE))</f>
        <v>0</v>
      </c>
      <c r="M57" s="19">
        <f>IF($E57="","",VLOOKUP(D57,WORKSHEET!$J$4:$AM$396,25,FALSE))</f>
        <v>0</v>
      </c>
      <c r="N57" s="19">
        <f t="shared" si="16"/>
        <v>0</v>
      </c>
      <c r="O57" s="22">
        <f t="shared" si="17"/>
        <v>0</v>
      </c>
      <c r="P57" s="23">
        <f>IF($E57="","",VLOOKUP(D57,WORKSHEET!$J$4:$AM$396,27,FALSE)+VLOOKUP(D57,WORKSHEET!$J$4:$AM$396,28,FALSE)+VLOOKUP(D57,WORKSHEET!$J$4:$AM$396,29,FALSE))</f>
        <v>1</v>
      </c>
      <c r="Q57" s="22">
        <f t="shared" si="18"/>
        <v>0.33333333333333331</v>
      </c>
    </row>
    <row r="58" spans="2:17" ht="17" customHeight="1" x14ac:dyDescent="0.2">
      <c r="B58" s="6" t="str">
        <f t="shared" si="12"/>
        <v>Nov 2024</v>
      </c>
      <c r="C58" s="6" t="s">
        <v>166</v>
      </c>
      <c r="D58" s="6" t="str">
        <f t="shared" si="13"/>
        <v>Nov 2024-WEST-44</v>
      </c>
      <c r="E58" s="18" t="str">
        <f>IFERROR(VLOOKUP(D58,WORKSHEET!$J$4:$AM$396,13,FALSE),"")</f>
        <v>Lamborghini North Scottsdale</v>
      </c>
      <c r="F58" s="19">
        <f>IF($E58="","",VLOOKUP(D58,WORKSHEET!$J$4:$AM$396,14,FALSE))</f>
        <v>1</v>
      </c>
      <c r="G58" s="20">
        <f>IF($E58="","",VLOOKUP(D58,WORKSHEET!$J$4:$AM$396,15,FALSE))</f>
        <v>0</v>
      </c>
      <c r="H58" s="21">
        <f t="shared" si="14"/>
        <v>0</v>
      </c>
      <c r="I58" s="19">
        <f>IF($E58="","",VLOOKUP(D58,WORKSHEET!$J$4:$AM$396,21,FALSE))</f>
        <v>0</v>
      </c>
      <c r="J58" s="21">
        <f t="shared" si="15"/>
        <v>0</v>
      </c>
      <c r="K58" s="20">
        <f>IF($E58="","",VLOOKUP(D58,WORKSHEET!$J$4:$AM$396,23,FALSE))</f>
        <v>0</v>
      </c>
      <c r="L58" s="19">
        <f>IF($E58="","",VLOOKUP(D58,WORKSHEET!$J$4:$AM$396,24,FALSE))</f>
        <v>0</v>
      </c>
      <c r="M58" s="19">
        <f>IF($E58="","",VLOOKUP(D58,WORKSHEET!$J$4:$AM$396,25,FALSE))</f>
        <v>1</v>
      </c>
      <c r="N58" s="19">
        <f t="shared" si="16"/>
        <v>1</v>
      </c>
      <c r="O58" s="22">
        <f t="shared" si="17"/>
        <v>1</v>
      </c>
      <c r="P58" s="23">
        <f>IF($E58="","",VLOOKUP(D58,WORKSHEET!$J$4:$AM$396,27,FALSE)+VLOOKUP(D58,WORKSHEET!$J$4:$AM$396,28,FALSE)+VLOOKUP(D58,WORKSHEET!$J$4:$AM$396,29,FALSE))</f>
        <v>0</v>
      </c>
      <c r="Q58" s="22">
        <f t="shared" si="18"/>
        <v>0</v>
      </c>
    </row>
    <row r="59" spans="2:17" ht="17" customHeight="1" x14ac:dyDescent="0.2">
      <c r="B59" s="6" t="str">
        <f t="shared" si="12"/>
        <v>Nov 2024</v>
      </c>
      <c r="C59" s="6" t="s">
        <v>181</v>
      </c>
      <c r="D59" s="6" t="str">
        <f t="shared" si="13"/>
        <v>Nov 2024-WEST-45</v>
      </c>
      <c r="E59" s="18" t="str">
        <f>IFERROR(VLOOKUP(D59,WORKSHEET!$J$4:$AM$396,13,FALSE),"")</f>
        <v>Land Rover Chandler</v>
      </c>
      <c r="F59" s="19">
        <f>IF($E59="","",VLOOKUP(D59,WORKSHEET!$J$4:$AM$396,14,FALSE))</f>
        <v>4</v>
      </c>
      <c r="G59" s="20">
        <f>IF($E59="","",VLOOKUP(D59,WORKSHEET!$J$4:$AM$396,15,FALSE))</f>
        <v>0</v>
      </c>
      <c r="H59" s="21">
        <f t="shared" si="14"/>
        <v>0</v>
      </c>
      <c r="I59" s="19">
        <f>IF($E59="","",VLOOKUP(D59,WORKSHEET!$J$4:$AM$396,21,FALSE))</f>
        <v>2</v>
      </c>
      <c r="J59" s="21">
        <f t="shared" si="15"/>
        <v>0.5</v>
      </c>
      <c r="K59" s="20">
        <f>IF($E59="","",VLOOKUP(D59,WORKSHEET!$J$4:$AM$396,23,FALSE))</f>
        <v>0</v>
      </c>
      <c r="L59" s="19">
        <f>IF($E59="","",VLOOKUP(D59,WORKSHEET!$J$4:$AM$396,24,FALSE))</f>
        <v>0</v>
      </c>
      <c r="M59" s="19">
        <f>IF($E59="","",VLOOKUP(D59,WORKSHEET!$J$4:$AM$396,25,FALSE))</f>
        <v>0</v>
      </c>
      <c r="N59" s="19">
        <f t="shared" si="16"/>
        <v>0</v>
      </c>
      <c r="O59" s="22">
        <f t="shared" si="17"/>
        <v>0</v>
      </c>
      <c r="P59" s="23">
        <f>IF($E59="","",VLOOKUP(D59,WORKSHEET!$J$4:$AM$396,27,FALSE)+VLOOKUP(D59,WORKSHEET!$J$4:$AM$396,28,FALSE)+VLOOKUP(D59,WORKSHEET!$J$4:$AM$396,29,FALSE))</f>
        <v>2</v>
      </c>
      <c r="Q59" s="22">
        <f t="shared" si="18"/>
        <v>0.5</v>
      </c>
    </row>
    <row r="60" spans="2:17" ht="17" customHeight="1" x14ac:dyDescent="0.2">
      <c r="B60" s="6" t="str">
        <f t="shared" si="12"/>
        <v>Nov 2024</v>
      </c>
      <c r="C60" s="6" t="s">
        <v>190</v>
      </c>
      <c r="D60" s="6" t="str">
        <f t="shared" si="13"/>
        <v>Nov 2024-WEST-46</v>
      </c>
      <c r="E60" s="18" t="str">
        <f>IFERROR(VLOOKUP(D60,WORKSHEET!$J$4:$AM$396,13,FALSE),"")</f>
        <v>Lexus of Chandler</v>
      </c>
      <c r="F60" s="19">
        <f>IF($E60="","",VLOOKUP(D60,WORKSHEET!$J$4:$AM$396,14,FALSE))</f>
        <v>1</v>
      </c>
      <c r="G60" s="20">
        <f>IF($E60="","",VLOOKUP(D60,WORKSHEET!$J$4:$AM$396,15,FALSE))</f>
        <v>0</v>
      </c>
      <c r="H60" s="21">
        <f t="shared" si="14"/>
        <v>0</v>
      </c>
      <c r="I60" s="19">
        <f>IF($E60="","",VLOOKUP(D60,WORKSHEET!$J$4:$AM$396,21,FALSE))</f>
        <v>0</v>
      </c>
      <c r="J60" s="21">
        <f t="shared" si="15"/>
        <v>0</v>
      </c>
      <c r="K60" s="20">
        <f>IF($E60="","",VLOOKUP(D60,WORKSHEET!$J$4:$AM$396,23,FALSE))</f>
        <v>0</v>
      </c>
      <c r="L60" s="19">
        <f>IF($E60="","",VLOOKUP(D60,WORKSHEET!$J$4:$AM$396,24,FALSE))</f>
        <v>0</v>
      </c>
      <c r="M60" s="19">
        <f>IF($E60="","",VLOOKUP(D60,WORKSHEET!$J$4:$AM$396,25,FALSE))</f>
        <v>1</v>
      </c>
      <c r="N60" s="19">
        <f t="shared" si="16"/>
        <v>1</v>
      </c>
      <c r="O60" s="22">
        <f t="shared" si="17"/>
        <v>1</v>
      </c>
      <c r="P60" s="23">
        <f>IF($E60="","",VLOOKUP(D60,WORKSHEET!$J$4:$AM$396,27,FALSE)+VLOOKUP(D60,WORKSHEET!$J$4:$AM$396,28,FALSE)+VLOOKUP(D60,WORKSHEET!$J$4:$AM$396,29,FALSE))</f>
        <v>0</v>
      </c>
      <c r="Q60" s="22">
        <f t="shared" si="18"/>
        <v>0</v>
      </c>
    </row>
    <row r="61" spans="2:17" ht="17" customHeight="1" x14ac:dyDescent="0.2">
      <c r="B61" s="6" t="str">
        <f t="shared" si="12"/>
        <v>Nov 2024</v>
      </c>
      <c r="C61" s="6" t="s">
        <v>203</v>
      </c>
      <c r="D61" s="6" t="str">
        <f t="shared" si="13"/>
        <v>Nov 2024-WEST-47</v>
      </c>
      <c r="E61" s="18" t="str">
        <f>IFERROR(VLOOKUP(D61,WORKSHEET!$J$4:$AM$396,13,FALSE),"")</f>
        <v>Lincoln South Coast</v>
      </c>
      <c r="F61" s="19">
        <f>IF($E61="","",VLOOKUP(D61,WORKSHEET!$J$4:$AM$396,14,FALSE))</f>
        <v>3</v>
      </c>
      <c r="G61" s="20">
        <f>IF($E61="","",VLOOKUP(D61,WORKSHEET!$J$4:$AM$396,15,FALSE))</f>
        <v>0</v>
      </c>
      <c r="H61" s="21">
        <f t="shared" si="14"/>
        <v>0</v>
      </c>
      <c r="I61" s="19">
        <f>IF($E61="","",VLOOKUP(D61,WORKSHEET!$J$4:$AM$396,21,FALSE))</f>
        <v>1</v>
      </c>
      <c r="J61" s="21">
        <f t="shared" si="15"/>
        <v>0.33333333333333331</v>
      </c>
      <c r="K61" s="20">
        <f>IF($E61="","",VLOOKUP(D61,WORKSHEET!$J$4:$AM$396,23,FALSE))</f>
        <v>0</v>
      </c>
      <c r="L61" s="19">
        <f>IF($E61="","",VLOOKUP(D61,WORKSHEET!$J$4:$AM$396,24,FALSE))</f>
        <v>0</v>
      </c>
      <c r="M61" s="19">
        <f>IF($E61="","",VLOOKUP(D61,WORKSHEET!$J$4:$AM$396,25,FALSE))</f>
        <v>0</v>
      </c>
      <c r="N61" s="19">
        <f t="shared" si="16"/>
        <v>0</v>
      </c>
      <c r="O61" s="22">
        <f t="shared" si="17"/>
        <v>0</v>
      </c>
      <c r="P61" s="23">
        <f>IF($E61="","",VLOOKUP(D61,WORKSHEET!$J$4:$AM$396,27,FALSE)+VLOOKUP(D61,WORKSHEET!$J$4:$AM$396,28,FALSE)+VLOOKUP(D61,WORKSHEET!$J$4:$AM$396,29,FALSE))</f>
        <v>2</v>
      </c>
      <c r="Q61" s="22">
        <f t="shared" si="18"/>
        <v>0.66666666666666663</v>
      </c>
    </row>
    <row r="62" spans="2:17" ht="17" customHeight="1" x14ac:dyDescent="0.2">
      <c r="B62" s="6" t="str">
        <f t="shared" si="12"/>
        <v>Nov 2024</v>
      </c>
      <c r="C62" s="6" t="s">
        <v>179</v>
      </c>
      <c r="D62" s="6" t="str">
        <f t="shared" si="13"/>
        <v>Nov 2024-WEST-48</v>
      </c>
      <c r="E62" s="18" t="str">
        <f>IFERROR(VLOOKUP(D62,WORKSHEET!$J$4:$AM$396,13,FALSE),"")</f>
        <v>MINI North Scottsdale</v>
      </c>
      <c r="F62" s="19">
        <f>IF($E62="","",VLOOKUP(D62,WORKSHEET!$J$4:$AM$396,14,FALSE))</f>
        <v>4</v>
      </c>
      <c r="G62" s="20">
        <f>IF($E62="","",VLOOKUP(D62,WORKSHEET!$J$4:$AM$396,15,FALSE))</f>
        <v>0</v>
      </c>
      <c r="H62" s="21">
        <f t="shared" si="14"/>
        <v>0</v>
      </c>
      <c r="I62" s="19">
        <f>IF($E62="","",VLOOKUP(D62,WORKSHEET!$J$4:$AM$396,21,FALSE))</f>
        <v>2</v>
      </c>
      <c r="J62" s="21">
        <f t="shared" si="15"/>
        <v>0.5</v>
      </c>
      <c r="K62" s="20">
        <f>IF($E62="","",VLOOKUP(D62,WORKSHEET!$J$4:$AM$396,23,FALSE))</f>
        <v>0</v>
      </c>
      <c r="L62" s="19">
        <f>IF($E62="","",VLOOKUP(D62,WORKSHEET!$J$4:$AM$396,24,FALSE))</f>
        <v>0</v>
      </c>
      <c r="M62" s="19">
        <f>IF($E62="","",VLOOKUP(D62,WORKSHEET!$J$4:$AM$396,25,FALSE))</f>
        <v>0</v>
      </c>
      <c r="N62" s="19">
        <f t="shared" si="16"/>
        <v>0</v>
      </c>
      <c r="O62" s="22">
        <f t="shared" si="17"/>
        <v>0</v>
      </c>
      <c r="P62" s="23">
        <f>IF($E62="","",VLOOKUP(D62,WORKSHEET!$J$4:$AM$396,27,FALSE)+VLOOKUP(D62,WORKSHEET!$J$4:$AM$396,28,FALSE)+VLOOKUP(D62,WORKSHEET!$J$4:$AM$396,29,FALSE))</f>
        <v>2</v>
      </c>
      <c r="Q62" s="22">
        <f t="shared" si="18"/>
        <v>0.5</v>
      </c>
    </row>
    <row r="63" spans="2:17" ht="17" customHeight="1" x14ac:dyDescent="0.2">
      <c r="B63" s="6" t="str">
        <f t="shared" si="12"/>
        <v>Nov 2024</v>
      </c>
      <c r="C63" s="6" t="s">
        <v>210</v>
      </c>
      <c r="D63" s="6" t="str">
        <f t="shared" si="13"/>
        <v>Nov 2024-WEST-49</v>
      </c>
      <c r="E63" s="18" t="str">
        <f>IFERROR(VLOOKUP(D63,WORKSHEET!$J$4:$AM$396,13,FALSE),"")</f>
        <v>MINI of Austin</v>
      </c>
      <c r="F63" s="19">
        <f>IF($E63="","",VLOOKUP(D63,WORKSHEET!$J$4:$AM$396,14,FALSE))</f>
        <v>2</v>
      </c>
      <c r="G63" s="20">
        <f>IF($E63="","",VLOOKUP(D63,WORKSHEET!$J$4:$AM$396,15,FALSE))</f>
        <v>0</v>
      </c>
      <c r="H63" s="21">
        <f t="shared" si="14"/>
        <v>0</v>
      </c>
      <c r="I63" s="19">
        <f>IF($E63="","",VLOOKUP(D63,WORKSHEET!$J$4:$AM$396,21,FALSE))</f>
        <v>1</v>
      </c>
      <c r="J63" s="21">
        <f t="shared" si="15"/>
        <v>0.5</v>
      </c>
      <c r="K63" s="20">
        <f>IF($E63="","",VLOOKUP(D63,WORKSHEET!$J$4:$AM$396,23,FALSE))</f>
        <v>0</v>
      </c>
      <c r="L63" s="19">
        <f>IF($E63="","",VLOOKUP(D63,WORKSHEET!$J$4:$AM$396,24,FALSE))</f>
        <v>0</v>
      </c>
      <c r="M63" s="19">
        <f>IF($E63="","",VLOOKUP(D63,WORKSHEET!$J$4:$AM$396,25,FALSE))</f>
        <v>0</v>
      </c>
      <c r="N63" s="19">
        <f t="shared" si="16"/>
        <v>0</v>
      </c>
      <c r="O63" s="22">
        <f t="shared" si="17"/>
        <v>0</v>
      </c>
      <c r="P63" s="23">
        <f>IF($E63="","",VLOOKUP(D63,WORKSHEET!$J$4:$AM$396,27,FALSE)+VLOOKUP(D63,WORKSHEET!$J$4:$AM$396,28,FALSE)+VLOOKUP(D63,WORKSHEET!$J$4:$AM$396,29,FALSE))</f>
        <v>1</v>
      </c>
      <c r="Q63" s="22">
        <f t="shared" si="18"/>
        <v>0.5</v>
      </c>
    </row>
    <row r="64" spans="2:17" ht="17" customHeight="1" x14ac:dyDescent="0.2">
      <c r="B64" s="6" t="str">
        <f t="shared" si="12"/>
        <v>Nov 2024</v>
      </c>
      <c r="C64" s="6" t="s">
        <v>197</v>
      </c>
      <c r="D64" s="6" t="str">
        <f t="shared" si="13"/>
        <v>Nov 2024-WEST-50</v>
      </c>
      <c r="E64" s="18" t="str">
        <f>IFERROR(VLOOKUP(D64,WORKSHEET!$J$4:$AM$396,13,FALSE),"")</f>
        <v>Porsche North Scottsdale</v>
      </c>
      <c r="F64" s="19">
        <f>IF($E64="","",VLOOKUP(D64,WORKSHEET!$J$4:$AM$396,14,FALSE))</f>
        <v>2</v>
      </c>
      <c r="G64" s="20">
        <f>IF($E64="","",VLOOKUP(D64,WORKSHEET!$J$4:$AM$396,15,FALSE))</f>
        <v>0</v>
      </c>
      <c r="H64" s="21">
        <f t="shared" si="14"/>
        <v>0</v>
      </c>
      <c r="I64" s="19">
        <f>IF($E64="","",VLOOKUP(D64,WORKSHEET!$J$4:$AM$396,21,FALSE))</f>
        <v>0</v>
      </c>
      <c r="J64" s="21">
        <f t="shared" si="15"/>
        <v>0</v>
      </c>
      <c r="K64" s="20">
        <f>IF($E64="","",VLOOKUP(D64,WORKSHEET!$J$4:$AM$396,23,FALSE))</f>
        <v>0</v>
      </c>
      <c r="L64" s="19">
        <f>IF($E64="","",VLOOKUP(D64,WORKSHEET!$J$4:$AM$396,24,FALSE))</f>
        <v>0</v>
      </c>
      <c r="M64" s="19">
        <f>IF($E64="","",VLOOKUP(D64,WORKSHEET!$J$4:$AM$396,25,FALSE))</f>
        <v>2</v>
      </c>
      <c r="N64" s="19">
        <f t="shared" si="16"/>
        <v>2</v>
      </c>
      <c r="O64" s="22">
        <f t="shared" si="17"/>
        <v>1</v>
      </c>
      <c r="P64" s="23">
        <f>IF($E64="","",VLOOKUP(D64,WORKSHEET!$J$4:$AM$396,27,FALSE)+VLOOKUP(D64,WORKSHEET!$J$4:$AM$396,28,FALSE)+VLOOKUP(D64,WORKSHEET!$J$4:$AM$396,29,FALSE))</f>
        <v>0</v>
      </c>
      <c r="Q64" s="22">
        <f t="shared" si="18"/>
        <v>0</v>
      </c>
    </row>
    <row r="65" spans="2:17" ht="17" customHeight="1" x14ac:dyDescent="0.2">
      <c r="B65" s="6" t="str">
        <f t="shared" si="12"/>
        <v>Nov 2024</v>
      </c>
      <c r="C65" s="6" t="s">
        <v>200</v>
      </c>
      <c r="D65" s="6" t="str">
        <f t="shared" si="13"/>
        <v>Nov 2024-WEST-51</v>
      </c>
      <c r="E65" s="18" t="str">
        <f>IFERROR(VLOOKUP(D65,WORKSHEET!$J$4:$AM$396,13,FALSE),"")</f>
        <v>Round Rock Hyundai</v>
      </c>
      <c r="F65" s="19">
        <f>IF($E65="","",VLOOKUP(D65,WORKSHEET!$J$4:$AM$396,14,FALSE))</f>
        <v>10</v>
      </c>
      <c r="G65" s="20">
        <f>IF($E65="","",VLOOKUP(D65,WORKSHEET!$J$4:$AM$396,15,FALSE))</f>
        <v>0</v>
      </c>
      <c r="H65" s="21">
        <f t="shared" si="14"/>
        <v>0</v>
      </c>
      <c r="I65" s="19">
        <f>IF($E65="","",VLOOKUP(D65,WORKSHEET!$J$4:$AM$396,21,FALSE))</f>
        <v>4</v>
      </c>
      <c r="J65" s="21">
        <f t="shared" si="15"/>
        <v>0.4</v>
      </c>
      <c r="K65" s="20">
        <f>IF($E65="","",VLOOKUP(D65,WORKSHEET!$J$4:$AM$396,23,FALSE))</f>
        <v>0</v>
      </c>
      <c r="L65" s="19">
        <f>IF($E65="","",VLOOKUP(D65,WORKSHEET!$J$4:$AM$396,24,FALSE))</f>
        <v>0</v>
      </c>
      <c r="M65" s="19">
        <f>IF($E65="","",VLOOKUP(D65,WORKSHEET!$J$4:$AM$396,25,FALSE))</f>
        <v>0</v>
      </c>
      <c r="N65" s="19">
        <f t="shared" si="16"/>
        <v>0</v>
      </c>
      <c r="O65" s="22">
        <f t="shared" si="17"/>
        <v>0</v>
      </c>
      <c r="P65" s="23">
        <f>IF($E65="","",VLOOKUP(D65,WORKSHEET!$J$4:$AM$396,27,FALSE)+VLOOKUP(D65,WORKSHEET!$J$4:$AM$396,28,FALSE)+VLOOKUP(D65,WORKSHEET!$J$4:$AM$396,29,FALSE))</f>
        <v>6</v>
      </c>
      <c r="Q65" s="22">
        <f t="shared" si="18"/>
        <v>0.6</v>
      </c>
    </row>
    <row r="66" spans="2:17" ht="17" customHeight="1" x14ac:dyDescent="0.2">
      <c r="B66" s="6" t="str">
        <f t="shared" si="12"/>
        <v>Nov 2024</v>
      </c>
      <c r="C66" s="6" t="s">
        <v>171</v>
      </c>
      <c r="D66" s="6" t="str">
        <f t="shared" si="13"/>
        <v>Nov 2024-WEST-52</v>
      </c>
      <c r="E66" s="18" t="str">
        <f>IFERROR(VLOOKUP(D66,WORKSHEET!$J$4:$AM$396,13,FALSE),"")</f>
        <v>Round Rock Toyota</v>
      </c>
      <c r="F66" s="19">
        <f>IF($E66="","",VLOOKUP(D66,WORKSHEET!$J$4:$AM$396,14,FALSE))</f>
        <v>4</v>
      </c>
      <c r="G66" s="20">
        <f>IF($E66="","",VLOOKUP(D66,WORKSHEET!$J$4:$AM$396,15,FALSE))</f>
        <v>0</v>
      </c>
      <c r="H66" s="21">
        <f t="shared" si="14"/>
        <v>0</v>
      </c>
      <c r="I66" s="19">
        <f>IF($E66="","",VLOOKUP(D66,WORKSHEET!$J$4:$AM$396,21,FALSE))</f>
        <v>1</v>
      </c>
      <c r="J66" s="21">
        <f t="shared" si="15"/>
        <v>0.25</v>
      </c>
      <c r="K66" s="20">
        <f>IF($E66="","",VLOOKUP(D66,WORKSHEET!$J$4:$AM$396,23,FALSE))</f>
        <v>0</v>
      </c>
      <c r="L66" s="19">
        <f>IF($E66="","",VLOOKUP(D66,WORKSHEET!$J$4:$AM$396,24,FALSE))</f>
        <v>0</v>
      </c>
      <c r="M66" s="19">
        <f>IF($E66="","",VLOOKUP(D66,WORKSHEET!$J$4:$AM$396,25,FALSE))</f>
        <v>0</v>
      </c>
      <c r="N66" s="19">
        <f t="shared" si="16"/>
        <v>0</v>
      </c>
      <c r="O66" s="22">
        <f t="shared" si="17"/>
        <v>0</v>
      </c>
      <c r="P66" s="23">
        <f>IF($E66="","",VLOOKUP(D66,WORKSHEET!$J$4:$AM$396,27,FALSE)+VLOOKUP(D66,WORKSHEET!$J$4:$AM$396,28,FALSE)+VLOOKUP(D66,WORKSHEET!$J$4:$AM$396,29,FALSE))</f>
        <v>3</v>
      </c>
      <c r="Q66" s="22">
        <f t="shared" si="18"/>
        <v>0.75</v>
      </c>
    </row>
    <row r="67" spans="2:17" ht="17" customHeight="1" x14ac:dyDescent="0.2">
      <c r="B67" s="6" t="str">
        <f t="shared" si="12"/>
        <v>Nov 2024</v>
      </c>
      <c r="C67" s="6" t="s">
        <v>182</v>
      </c>
      <c r="D67" s="6" t="str">
        <f t="shared" si="13"/>
        <v>Nov 2024-WEST-53</v>
      </c>
      <c r="E67" s="18" t="str">
        <f>IFERROR(VLOOKUP(D67,WORKSHEET!$J$4:$AM$396,13,FALSE),"")</f>
        <v>Scottsdale Ferrari Maserati</v>
      </c>
      <c r="F67" s="19">
        <f>IF($E67="","",VLOOKUP(D67,WORKSHEET!$J$4:$AM$396,14,FALSE))</f>
        <v>5</v>
      </c>
      <c r="G67" s="20">
        <f>IF($E67="","",VLOOKUP(D67,WORKSHEET!$J$4:$AM$396,15,FALSE))</f>
        <v>0</v>
      </c>
      <c r="H67" s="21">
        <f t="shared" ref="H67:H68" si="19">IF($E67="","",IFERROR(G67/F67,0))</f>
        <v>0</v>
      </c>
      <c r="I67" s="19">
        <f>IF($E67="","",VLOOKUP(D67,WORKSHEET!$J$4:$AM$396,21,FALSE))</f>
        <v>2</v>
      </c>
      <c r="J67" s="21">
        <f t="shared" ref="J67:J68" si="20">IF($E67="","",IFERROR(I67/F67,0))</f>
        <v>0.4</v>
      </c>
      <c r="K67" s="20">
        <f>IF($E67="","",VLOOKUP(D67,WORKSHEET!$J$4:$AM$396,23,FALSE))</f>
        <v>0</v>
      </c>
      <c r="L67" s="19">
        <f>IF($E67="","",VLOOKUP(D67,WORKSHEET!$J$4:$AM$396,24,FALSE))</f>
        <v>1</v>
      </c>
      <c r="M67" s="19">
        <f>IF($E67="","",VLOOKUP(D67,WORKSHEET!$J$4:$AM$396,25,FALSE))</f>
        <v>1</v>
      </c>
      <c r="N67" s="19">
        <f t="shared" ref="N67:N68" si="21">IF($E67="","",SUM(K67:M67))</f>
        <v>2</v>
      </c>
      <c r="O67" s="22">
        <f t="shared" ref="O67:O68" si="22">IF($E67="","",IFERROR(SUM(K67:M67)/F67,0))</f>
        <v>0.4</v>
      </c>
      <c r="P67" s="23">
        <f>IF($E67="","",VLOOKUP(D67,WORKSHEET!$J$4:$AM$396,27,FALSE)+VLOOKUP(D67,WORKSHEET!$J$4:$AM$396,28,FALSE)+VLOOKUP(D67,WORKSHEET!$J$4:$AM$396,29,FALSE))</f>
        <v>1</v>
      </c>
      <c r="Q67" s="22">
        <f t="shared" ref="Q67:Q68" si="23">IF($E67="","",IFERROR(P67/F67,0))</f>
        <v>0.2</v>
      </c>
    </row>
    <row r="68" spans="2:17" ht="17" customHeight="1" x14ac:dyDescent="0.2">
      <c r="B68" s="6" t="str">
        <f t="shared" si="12"/>
        <v>Nov 2024</v>
      </c>
      <c r="C68" s="6" t="s">
        <v>237</v>
      </c>
      <c r="D68" s="6" t="str">
        <f t="shared" ref="D68" si="24">B68&amp;"-"&amp;C68</f>
        <v>Nov 2024-WEST-54</v>
      </c>
      <c r="E68" s="18" t="str">
        <f>IFERROR(VLOOKUP(D68,WORKSHEET!$J$4:$AM$396,13,FALSE),"")</f>
        <v>Subaru Orange Coast</v>
      </c>
      <c r="F68" s="19">
        <f>IF($E68="","",VLOOKUP(D68,WORKSHEET!$J$4:$AM$396,14,FALSE))</f>
        <v>4</v>
      </c>
      <c r="G68" s="20">
        <f>IF($E68="","",VLOOKUP(D68,WORKSHEET!$J$4:$AM$396,15,FALSE))</f>
        <v>0</v>
      </c>
      <c r="H68" s="21">
        <f t="shared" si="19"/>
        <v>0</v>
      </c>
      <c r="I68" s="19">
        <f>IF($E68="","",VLOOKUP(D68,WORKSHEET!$J$4:$AM$396,21,FALSE))</f>
        <v>3</v>
      </c>
      <c r="J68" s="21">
        <f t="shared" si="20"/>
        <v>0.75</v>
      </c>
      <c r="K68" s="20">
        <f>IF($E68="","",VLOOKUP(D68,WORKSHEET!$J$4:$AM$396,23,FALSE))</f>
        <v>0</v>
      </c>
      <c r="L68" s="19">
        <f>IF($E68="","",VLOOKUP(D68,WORKSHEET!$J$4:$AM$396,24,FALSE))</f>
        <v>0</v>
      </c>
      <c r="M68" s="19">
        <f>IF($E68="","",VLOOKUP(D68,WORKSHEET!$J$4:$AM$396,25,FALSE))</f>
        <v>0</v>
      </c>
      <c r="N68" s="19">
        <f t="shared" si="21"/>
        <v>0</v>
      </c>
      <c r="O68" s="22">
        <f t="shared" si="22"/>
        <v>0</v>
      </c>
      <c r="P68" s="23">
        <f>IF($E68="","",VLOOKUP(D68,WORKSHEET!$J$4:$AM$396,27,FALSE)+VLOOKUP(D68,WORKSHEET!$J$4:$AM$396,28,FALSE)+VLOOKUP(D68,WORKSHEET!$J$4:$AM$396,29,FALSE))</f>
        <v>1</v>
      </c>
      <c r="Q68" s="22">
        <f t="shared" si="23"/>
        <v>0.25</v>
      </c>
    </row>
    <row r="69" spans="2:17" ht="16" x14ac:dyDescent="0.2">
      <c r="B69" s="6" t="str">
        <f t="shared" si="12"/>
        <v>Nov 2024</v>
      </c>
      <c r="C69" s="6" t="s">
        <v>279</v>
      </c>
      <c r="D69" s="6" t="str">
        <f t="shared" ref="D69:D72" si="25">B69&amp;"-"&amp;C69</f>
        <v>Nov 2024-WEST-55</v>
      </c>
      <c r="E69" s="18" t="str">
        <f ca="1">IFERROR(VLOOKUP(D69,WORKSHEET!$J$4:$AM$396,13,FALSE),"")</f>
        <v/>
      </c>
      <c r="F69" s="19" t="str">
        <f ca="1">IF($E69="","",VLOOKUP(D69,WORKSHEET!$J$4:$AM$396,14,FALSE))</f>
        <v/>
      </c>
      <c r="G69" s="20" t="str">
        <f ca="1">IF($E69="","",VLOOKUP(D69,WORKSHEET!$J$4:$AM$396,15,FALSE))</f>
        <v/>
      </c>
      <c r="H69" s="21" t="str">
        <f t="shared" ref="H69:H72" ca="1" si="26">IF($E69="","",IFERROR(G69/F69,0))</f>
        <v/>
      </c>
      <c r="I69" s="19" t="str">
        <f ca="1">IF($E69="","",VLOOKUP(D69,WORKSHEET!$J$4:$AM$396,21,FALSE))</f>
        <v/>
      </c>
      <c r="J69" s="21" t="str">
        <f t="shared" ref="J69:J72" ca="1" si="27">IF($E69="","",IFERROR(I69/F69,0))</f>
        <v/>
      </c>
      <c r="K69" s="20" t="str">
        <f ca="1">IF($E69="","",VLOOKUP(D69,WORKSHEET!$J$4:$AM$396,23,FALSE))</f>
        <v/>
      </c>
      <c r="L69" s="19" t="str">
        <f ca="1">IF($E69="","",VLOOKUP(D69,WORKSHEET!$J$4:$AM$396,24,FALSE))</f>
        <v/>
      </c>
      <c r="M69" s="19" t="str">
        <f ca="1">IF($E69="","",VLOOKUP(D69,WORKSHEET!$J$4:$AM$396,25,FALSE))</f>
        <v/>
      </c>
      <c r="N69" s="19" t="str">
        <f t="shared" ref="N69:N72" ca="1" si="28">IF($E69="","",SUM(K69:M69))</f>
        <v/>
      </c>
      <c r="O69" s="22" t="str">
        <f t="shared" ref="O69:O72" ca="1" si="29">IF($E69="","",IFERROR(SUM(K69:M69)/F69,0))</f>
        <v/>
      </c>
      <c r="P69" s="23" t="str">
        <f ca="1">IF($E69="","",VLOOKUP(D69,WORKSHEET!$J$4:$AM$396,27,FALSE)+VLOOKUP(D69,WORKSHEET!$J$4:$AM$396,28,FALSE)+VLOOKUP(D69,WORKSHEET!$J$4:$AM$396,29,FALSE))</f>
        <v/>
      </c>
      <c r="Q69" s="22" t="str">
        <f t="shared" ref="Q69:Q72" ca="1" si="30">IF($E69="","",IFERROR(P69/F69,0))</f>
        <v/>
      </c>
    </row>
    <row r="70" spans="2:17" ht="16" x14ac:dyDescent="0.2">
      <c r="B70" s="6" t="str">
        <f t="shared" si="12"/>
        <v>Nov 2024</v>
      </c>
      <c r="C70" s="6" t="s">
        <v>280</v>
      </c>
      <c r="D70" s="6" t="str">
        <f t="shared" si="25"/>
        <v>Nov 2024-WEST-56</v>
      </c>
      <c r="E70" s="18" t="str">
        <f ca="1">IFERROR(VLOOKUP(D70,WORKSHEET!$J$4:$AM$396,13,FALSE),"")</f>
        <v/>
      </c>
      <c r="F70" s="19" t="str">
        <f ca="1">IF($E70="","",VLOOKUP(D70,WORKSHEET!$J$4:$AM$396,14,FALSE))</f>
        <v/>
      </c>
      <c r="G70" s="20" t="str">
        <f ca="1">IF($E70="","",VLOOKUP(D70,WORKSHEET!$J$4:$AM$396,15,FALSE))</f>
        <v/>
      </c>
      <c r="H70" s="21" t="str">
        <f t="shared" ca="1" si="26"/>
        <v/>
      </c>
      <c r="I70" s="19" t="str">
        <f ca="1">IF($E70="","",VLOOKUP(D70,WORKSHEET!$J$4:$AM$396,21,FALSE))</f>
        <v/>
      </c>
      <c r="J70" s="21" t="str">
        <f t="shared" ca="1" si="27"/>
        <v/>
      </c>
      <c r="K70" s="20" t="str">
        <f ca="1">IF($E70="","",VLOOKUP(D70,WORKSHEET!$J$4:$AM$396,23,FALSE))</f>
        <v/>
      </c>
      <c r="L70" s="19" t="str">
        <f ca="1">IF($E70="","",VLOOKUP(D70,WORKSHEET!$J$4:$AM$396,24,FALSE))</f>
        <v/>
      </c>
      <c r="M70" s="19" t="str">
        <f ca="1">IF($E70="","",VLOOKUP(D70,WORKSHEET!$J$4:$AM$396,25,FALSE))</f>
        <v/>
      </c>
      <c r="N70" s="19" t="str">
        <f t="shared" ca="1" si="28"/>
        <v/>
      </c>
      <c r="O70" s="22" t="str">
        <f t="shared" ca="1" si="29"/>
        <v/>
      </c>
      <c r="P70" s="23" t="str">
        <f ca="1">IF($E70="","",VLOOKUP(D70,WORKSHEET!$J$4:$AM$396,27,FALSE)+VLOOKUP(D70,WORKSHEET!$J$4:$AM$396,28,FALSE)+VLOOKUP(D70,WORKSHEET!$J$4:$AM$396,29,FALSE))</f>
        <v/>
      </c>
      <c r="Q70" s="22" t="str">
        <f t="shared" ca="1" si="30"/>
        <v/>
      </c>
    </row>
    <row r="71" spans="2:17" ht="16" x14ac:dyDescent="0.2">
      <c r="B71" s="6" t="str">
        <f t="shared" si="12"/>
        <v>Nov 2024</v>
      </c>
      <c r="C71" s="6" t="s">
        <v>281</v>
      </c>
      <c r="D71" s="6" t="str">
        <f t="shared" si="25"/>
        <v>Nov 2024-WEST-57</v>
      </c>
      <c r="E71" s="18" t="str">
        <f ca="1">IFERROR(VLOOKUP(D71,WORKSHEET!$J$4:$AM$396,13,FALSE),"")</f>
        <v/>
      </c>
      <c r="F71" s="19" t="str">
        <f ca="1">IF($E71="","",VLOOKUP(D71,WORKSHEET!$J$4:$AM$396,14,FALSE))</f>
        <v/>
      </c>
      <c r="G71" s="20" t="str">
        <f ca="1">IF($E71="","",VLOOKUP(D71,WORKSHEET!$J$4:$AM$396,15,FALSE))</f>
        <v/>
      </c>
      <c r="H71" s="21" t="str">
        <f t="shared" ca="1" si="26"/>
        <v/>
      </c>
      <c r="I71" s="19" t="str">
        <f ca="1">IF($E71="","",VLOOKUP(D71,WORKSHEET!$J$4:$AM$396,21,FALSE))</f>
        <v/>
      </c>
      <c r="J71" s="21" t="str">
        <f t="shared" ca="1" si="27"/>
        <v/>
      </c>
      <c r="K71" s="20" t="str">
        <f ca="1">IF($E71="","",VLOOKUP(D71,WORKSHEET!$J$4:$AM$396,23,FALSE))</f>
        <v/>
      </c>
      <c r="L71" s="19" t="str">
        <f ca="1">IF($E71="","",VLOOKUP(D71,WORKSHEET!$J$4:$AM$396,24,FALSE))</f>
        <v/>
      </c>
      <c r="M71" s="19" t="str">
        <f ca="1">IF($E71="","",VLOOKUP(D71,WORKSHEET!$J$4:$AM$396,25,FALSE))</f>
        <v/>
      </c>
      <c r="N71" s="19" t="str">
        <f t="shared" ca="1" si="28"/>
        <v/>
      </c>
      <c r="O71" s="22" t="str">
        <f t="shared" ca="1" si="29"/>
        <v/>
      </c>
      <c r="P71" s="23" t="str">
        <f ca="1">IF($E71="","",VLOOKUP(D71,WORKSHEET!$J$4:$AM$396,27,FALSE)+VLOOKUP(D71,WORKSHEET!$J$4:$AM$396,28,FALSE)+VLOOKUP(D71,WORKSHEET!$J$4:$AM$396,29,FALSE))</f>
        <v/>
      </c>
      <c r="Q71" s="22" t="str">
        <f t="shared" ca="1" si="30"/>
        <v/>
      </c>
    </row>
    <row r="72" spans="2:17" ht="16" x14ac:dyDescent="0.2">
      <c r="B72" s="6" t="str">
        <f t="shared" si="12"/>
        <v>Nov 2024</v>
      </c>
      <c r="C72" s="6" t="s">
        <v>282</v>
      </c>
      <c r="D72" s="6" t="str">
        <f t="shared" si="25"/>
        <v>Nov 2024-WEST-58</v>
      </c>
      <c r="E72" s="18" t="str">
        <f ca="1">IFERROR(VLOOKUP(D72,WORKSHEET!$J$4:$AM$396,13,FALSE),"")</f>
        <v/>
      </c>
      <c r="F72" s="19" t="str">
        <f ca="1">IF($E72="","",VLOOKUP(D72,WORKSHEET!$J$4:$AM$396,14,FALSE))</f>
        <v/>
      </c>
      <c r="G72" s="20" t="str">
        <f ca="1">IF($E72="","",VLOOKUP(D72,WORKSHEET!$J$4:$AM$396,15,FALSE))</f>
        <v/>
      </c>
      <c r="H72" s="21" t="str">
        <f t="shared" ca="1" si="26"/>
        <v/>
      </c>
      <c r="I72" s="19" t="str">
        <f ca="1">IF($E72="","",VLOOKUP(D72,WORKSHEET!$J$4:$AM$396,21,FALSE))</f>
        <v/>
      </c>
      <c r="J72" s="21" t="str">
        <f t="shared" ca="1" si="27"/>
        <v/>
      </c>
      <c r="K72" s="20" t="str">
        <f ca="1">IF($E72="","",VLOOKUP(D72,WORKSHEET!$J$4:$AM$396,23,FALSE))</f>
        <v/>
      </c>
      <c r="L72" s="19" t="str">
        <f ca="1">IF($E72="","",VLOOKUP(D72,WORKSHEET!$J$4:$AM$396,24,FALSE))</f>
        <v/>
      </c>
      <c r="M72" s="19" t="str">
        <f ca="1">IF($E72="","",VLOOKUP(D72,WORKSHEET!$J$4:$AM$396,25,FALSE))</f>
        <v/>
      </c>
      <c r="N72" s="19" t="str">
        <f t="shared" ca="1" si="28"/>
        <v/>
      </c>
      <c r="O72" s="22" t="str">
        <f t="shared" ca="1" si="29"/>
        <v/>
      </c>
      <c r="P72" s="23" t="str">
        <f ca="1">IF($E72="","",VLOOKUP(D72,WORKSHEET!$J$4:$AM$396,27,FALSE)+VLOOKUP(D72,WORKSHEET!$J$4:$AM$396,28,FALSE)+VLOOKUP(D72,WORKSHEET!$J$4:$AM$396,29,FALSE))</f>
        <v/>
      </c>
      <c r="Q72" s="22" t="str">
        <f t="shared" ca="1" si="30"/>
        <v/>
      </c>
    </row>
  </sheetData>
  <sortState xmlns:xlrd2="http://schemas.microsoft.com/office/spreadsheetml/2017/richdata2" ref="D15:D67">
    <sortCondition ref="D15:D67"/>
  </sortState>
  <mergeCells count="7">
    <mergeCell ref="F4:H4"/>
    <mergeCell ref="I4:Q4"/>
    <mergeCell ref="G6:H6"/>
    <mergeCell ref="I6:J6"/>
    <mergeCell ref="K6:O6"/>
    <mergeCell ref="P6:Q6"/>
    <mergeCell ref="E6:F6"/>
  </mergeCells>
  <phoneticPr fontId="5" type="noConversion"/>
  <conditionalFormatting sqref="E15:Q72">
    <cfRule type="cellIs" dxfId="74" priority="1" stopIfTrue="1" operator="equal">
      <formula>""</formula>
    </cfRule>
  </conditionalFormatting>
  <conditionalFormatting sqref="H8:H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:H72">
    <cfRule type="cellIs" dxfId="73" priority="19" operator="equal">
      <formula>"""-"""</formula>
    </cfRule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:J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:J72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F0A14C-5370-BB48-B0E7-391676E4082C}">
          <x14:formula1>
            <xm:f>WORKSHEET!$W$1:$AB$1</xm:f>
          </x14:formula1>
          <xm:sqref>F4:H4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103"/>
  <sheetViews>
    <sheetView showGridLines="0" workbookViewId="0"/>
  </sheetViews>
  <sheetFormatPr baseColWidth="10" defaultColWidth="8.83203125" defaultRowHeight="14" x14ac:dyDescent="0.15"/>
  <cols>
    <col min="1" max="1" width="2.83203125" style="6" customWidth="1"/>
    <col min="2" max="2" width="8.83203125" style="8" hidden="1" customWidth="1"/>
    <col min="3" max="3" width="32.83203125" style="6" bestFit="1" customWidth="1"/>
    <col min="4" max="8" width="13.33203125" style="6" customWidth="1"/>
    <col min="9" max="11" width="12.83203125" style="6" hidden="1" customWidth="1"/>
    <col min="12" max="15" width="12.83203125" style="6" customWidth="1"/>
    <col min="16" max="16" width="14.83203125" style="6" hidden="1" customWidth="1"/>
    <col min="17" max="16384" width="8.83203125" style="6"/>
  </cols>
  <sheetData>
    <row r="2" spans="2:20" ht="25" x14ac:dyDescent="0.25">
      <c r="B2" s="6"/>
      <c r="C2" s="7" t="s">
        <v>236</v>
      </c>
    </row>
    <row r="4" spans="2:20" s="10" customFormat="1" ht="20" customHeight="1" x14ac:dyDescent="0.2">
      <c r="B4" s="25"/>
      <c r="C4" s="78" t="str">
        <f>WORKSHEET!W1</f>
        <v>Nov 2024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42"/>
      <c r="P4" s="26"/>
    </row>
    <row r="5" spans="2:20" ht="80" customHeight="1" x14ac:dyDescent="0.2">
      <c r="C5" s="77" t="str">
        <f>"(Data pulled "&amp;WORKSHEET!V1&amp;")"</f>
        <v>(Data pulled 12/3/2024 @ 12:30pm)</v>
      </c>
      <c r="D5" s="77"/>
      <c r="E5" s="69" t="s">
        <v>228</v>
      </c>
      <c r="F5" s="70"/>
      <c r="G5" s="71" t="s">
        <v>229</v>
      </c>
      <c r="H5" s="82"/>
      <c r="I5" s="83" t="s">
        <v>230</v>
      </c>
      <c r="J5" s="74"/>
      <c r="K5" s="74"/>
      <c r="L5" s="74"/>
      <c r="M5" s="74"/>
      <c r="N5" s="75" t="s">
        <v>231</v>
      </c>
      <c r="O5" s="84"/>
      <c r="P5" s="85" t="s">
        <v>235</v>
      </c>
      <c r="Q5" s="28"/>
      <c r="R5" s="28"/>
      <c r="S5" s="28"/>
      <c r="T5" s="28"/>
    </row>
    <row r="6" spans="2:20" ht="32" customHeight="1" x14ac:dyDescent="0.15">
      <c r="C6" s="11" t="s">
        <v>0</v>
      </c>
      <c r="D6" s="12" t="s">
        <v>217</v>
      </c>
      <c r="E6" s="13" t="s">
        <v>220</v>
      </c>
      <c r="F6" s="14" t="s">
        <v>219</v>
      </c>
      <c r="G6" s="15" t="s">
        <v>221</v>
      </c>
      <c r="H6" s="14" t="s">
        <v>219</v>
      </c>
      <c r="I6" s="13" t="s">
        <v>222</v>
      </c>
      <c r="J6" s="15" t="s">
        <v>223</v>
      </c>
      <c r="K6" s="15" t="s">
        <v>6</v>
      </c>
      <c r="L6" s="15" t="s">
        <v>224</v>
      </c>
      <c r="M6" s="16" t="s">
        <v>219</v>
      </c>
      <c r="N6" s="12" t="s">
        <v>226</v>
      </c>
      <c r="O6" s="17" t="s">
        <v>219</v>
      </c>
      <c r="P6" s="85"/>
    </row>
    <row r="7" spans="2:20" x14ac:dyDescent="0.15">
      <c r="C7" s="81" t="s">
        <v>55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27"/>
    </row>
    <row r="8" spans="2:20" ht="16" x14ac:dyDescent="0.2">
      <c r="B8" s="8" t="s">
        <v>106</v>
      </c>
      <c r="C8" s="18" t="str">
        <f>IFERROR(VLOOKUP(B8,WORKSHEET!$O$4:$AM$60,8,FALSE),"")</f>
        <v>Acura North Scottsdale</v>
      </c>
      <c r="D8" s="19">
        <f>IF(C8="","",VLOOKUP(B8,WORKSHEET!$O$4:$AM$60,9,FALSE))</f>
        <v>7</v>
      </c>
      <c r="E8" s="20">
        <f>IF(C8="","",VLOOKUP(B8,WORKSHEET!$O$4:$AM$60,10,FALSE))</f>
        <v>3</v>
      </c>
      <c r="F8" s="29">
        <f>IF(C8="","",IFERROR(E8/D8,0))</f>
        <v>0.42857142857142855</v>
      </c>
      <c r="G8" s="19">
        <f>IF(C8="","",VLOOKUP(B8,WORKSHEET!$O$4:$AM$60,16,FALSE))</f>
        <v>5</v>
      </c>
      <c r="H8" s="21">
        <f>IF(C8="","",IFERROR(G8/D8,0))</f>
        <v>0.7142857142857143</v>
      </c>
      <c r="I8" s="20">
        <f>IF(C8="","",VLOOKUP(B8,WORKSHEET!$O$4:$AM$60,18,FALSE))</f>
        <v>0</v>
      </c>
      <c r="J8" s="19">
        <f>IF(C8="","",VLOOKUP(B8,WORKSHEET!$O$4:$AM$60,19,FALSE))</f>
        <v>0</v>
      </c>
      <c r="K8" s="19">
        <f>IF(C8="","",VLOOKUP(B8,WORKSHEET!$O$4:$AM$60,20,FALSE))</f>
        <v>0</v>
      </c>
      <c r="L8" s="19">
        <f>IF(C8="","",SUM(I8:K8))</f>
        <v>0</v>
      </c>
      <c r="M8" s="22">
        <f>IF(C8="","",IFERROR(SUM(I8:K8)/D8,0))</f>
        <v>0</v>
      </c>
      <c r="N8" s="23">
        <f>IF(C8="","",VLOOKUP(B8,WORKSHEET!$O$4:$AM$60,22,FALSE)+VLOOKUP(B8,WORKSHEET!$O$4:$AM$60,23,FALSE)+VLOOKUP(B8,WORKSHEET!$O$4:$AM$60,24,FALSE))</f>
        <v>2</v>
      </c>
      <c r="O8" s="22">
        <f>IF(C8="","",IFERROR(N8/D8,0))</f>
        <v>0.2857142857142857</v>
      </c>
      <c r="P8" s="80">
        <v>0.56000000000000005</v>
      </c>
    </row>
    <row r="9" spans="2:20" ht="16" x14ac:dyDescent="0.2">
      <c r="B9" s="8" t="s">
        <v>107</v>
      </c>
      <c r="C9" s="18" t="str">
        <f>IFERROR(VLOOKUP(B9,WORKSHEET!$O$4:$AM$60,8,FALSE),"")</f>
        <v>Capitol Acura</v>
      </c>
      <c r="D9" s="19">
        <f>IF(C9="","",VLOOKUP(B9,WORKSHEET!$O$4:$AM$60,9,FALSE))</f>
        <v>3</v>
      </c>
      <c r="E9" s="20">
        <f>IF(C9="","",VLOOKUP(B9,WORKSHEET!$O$4:$AM$60,10,FALSE))</f>
        <v>1</v>
      </c>
      <c r="F9" s="29">
        <f t="shared" ref="F9:F11" si="0">IF(C9="","",IFERROR(E9/D9,0))</f>
        <v>0.33333333333333331</v>
      </c>
      <c r="G9" s="19">
        <f>IF(C9="","",VLOOKUP(B9,WORKSHEET!$O$4:$AM$60,16,FALSE))</f>
        <v>3</v>
      </c>
      <c r="H9" s="21">
        <f t="shared" ref="H9:H11" si="1">IF(C9="","",IFERROR(G9/D9,0))</f>
        <v>1</v>
      </c>
      <c r="I9" s="20">
        <f>IF(C9="","",VLOOKUP(B9,WORKSHEET!$O$4:$AM$60,18,FALSE))</f>
        <v>0</v>
      </c>
      <c r="J9" s="19">
        <f>IF(C9="","",VLOOKUP(B9,WORKSHEET!$O$4:$AM$60,19,FALSE))</f>
        <v>0</v>
      </c>
      <c r="K9" s="19">
        <f>IF(C9="","",VLOOKUP(B9,WORKSHEET!$O$4:$AM$60,20,FALSE))</f>
        <v>0</v>
      </c>
      <c r="L9" s="19">
        <f t="shared" ref="L9:L11" si="2">IF(C9="","",SUM(I9:K9))</f>
        <v>0</v>
      </c>
      <c r="M9" s="22">
        <f t="shared" ref="M9:M11" si="3">IF(C9="","",IFERROR(SUM(I9:K9)/D9,0))</f>
        <v>0</v>
      </c>
      <c r="N9" s="23">
        <f>IF(C9="","",VLOOKUP(B9,WORKSHEET!$O$4:$AM$60,22,FALSE)+VLOOKUP(B9,WORKSHEET!$O$4:$AM$60,23,FALSE)+VLOOKUP(B9,WORKSHEET!$O$4:$AM$60,24,FALSE))</f>
        <v>0</v>
      </c>
      <c r="O9" s="22">
        <f t="shared" ref="O9:O11" si="4">IF(C9="","",IFERROR(N9/D9,0))</f>
        <v>0</v>
      </c>
      <c r="P9" s="80"/>
    </row>
    <row r="10" spans="2:20" ht="16" x14ac:dyDescent="0.2">
      <c r="B10" s="8" t="s">
        <v>132</v>
      </c>
      <c r="C10" s="18" t="str">
        <f>IFERROR(VLOOKUP(B10,WORKSHEET!$O$4:$AM$60,8,FALSE),"")</f>
        <v>Acura of Escondido</v>
      </c>
      <c r="D10" s="19">
        <f>IF(C10="","",VLOOKUP(B10,WORKSHEET!$O$4:$AM$60,9,FALSE))</f>
        <v>7</v>
      </c>
      <c r="E10" s="20">
        <f>IF(C10="","",VLOOKUP(B10,WORKSHEET!$O$4:$AM$60,10,FALSE))</f>
        <v>1</v>
      </c>
      <c r="F10" s="29">
        <f t="shared" si="0"/>
        <v>0.14285714285714285</v>
      </c>
      <c r="G10" s="19">
        <f>IF(C10="","",VLOOKUP(B10,WORKSHEET!$O$4:$AM$60,16,FALSE))</f>
        <v>5</v>
      </c>
      <c r="H10" s="21">
        <f t="shared" si="1"/>
        <v>0.7142857142857143</v>
      </c>
      <c r="I10" s="20">
        <f>IF(C10="","",VLOOKUP(B10,WORKSHEET!$O$4:$AM$60,18,FALSE))</f>
        <v>0</v>
      </c>
      <c r="J10" s="19">
        <f>IF(C10="","",VLOOKUP(B10,WORKSHEET!$O$4:$AM$60,19,FALSE))</f>
        <v>0</v>
      </c>
      <c r="K10" s="19">
        <f>IF(C10="","",VLOOKUP(B10,WORKSHEET!$O$4:$AM$60,20,FALSE))</f>
        <v>0</v>
      </c>
      <c r="L10" s="19">
        <f t="shared" si="2"/>
        <v>0</v>
      </c>
      <c r="M10" s="22">
        <f t="shared" si="3"/>
        <v>0</v>
      </c>
      <c r="N10" s="23">
        <f>IF(C10="","",VLOOKUP(B10,WORKSHEET!$O$4:$AM$60,22,FALSE)+VLOOKUP(B10,WORKSHEET!$O$4:$AM$60,23,FALSE)+VLOOKUP(B10,WORKSHEET!$O$4:$AM$60,24,FALSE))</f>
        <v>2</v>
      </c>
      <c r="O10" s="22">
        <f t="shared" si="4"/>
        <v>0.2857142857142857</v>
      </c>
      <c r="P10" s="80"/>
    </row>
    <row r="11" spans="2:20" ht="16" x14ac:dyDescent="0.2">
      <c r="B11" s="8" t="s">
        <v>125</v>
      </c>
      <c r="C11" s="18" t="str">
        <f>IFERROR(VLOOKUP(B11,WORKSHEET!$O$4:$AM$60,8,FALSE),"")</f>
        <v>Kearny Mesa Acura</v>
      </c>
      <c r="D11" s="19">
        <f>IF(C11="","",VLOOKUP(B11,WORKSHEET!$O$4:$AM$60,9,FALSE))</f>
        <v>3</v>
      </c>
      <c r="E11" s="20">
        <f>IF(C11="","",VLOOKUP(B11,WORKSHEET!$O$4:$AM$60,10,FALSE))</f>
        <v>0</v>
      </c>
      <c r="F11" s="29">
        <f t="shared" si="0"/>
        <v>0</v>
      </c>
      <c r="G11" s="19">
        <f>IF(C11="","",VLOOKUP(B11,WORKSHEET!$O$4:$AM$60,16,FALSE))</f>
        <v>2</v>
      </c>
      <c r="H11" s="21">
        <f t="shared" si="1"/>
        <v>0.66666666666666663</v>
      </c>
      <c r="I11" s="20">
        <f>IF(C11="","",VLOOKUP(B11,WORKSHEET!$O$4:$AM$60,18,FALSE))</f>
        <v>0</v>
      </c>
      <c r="J11" s="19">
        <f>IF(C11="","",VLOOKUP(B11,WORKSHEET!$O$4:$AM$60,19,FALSE))</f>
        <v>0</v>
      </c>
      <c r="K11" s="19">
        <f>IF(C11="","",VLOOKUP(B11,WORKSHEET!$O$4:$AM$60,20,FALSE))</f>
        <v>0</v>
      </c>
      <c r="L11" s="19">
        <f t="shared" si="2"/>
        <v>0</v>
      </c>
      <c r="M11" s="22">
        <f t="shared" si="3"/>
        <v>0</v>
      </c>
      <c r="N11" s="23">
        <f>IF(C11="","",VLOOKUP(B11,WORKSHEET!$O$4:$AM$60,22,FALSE)+VLOOKUP(B11,WORKSHEET!$O$4:$AM$60,23,FALSE)+VLOOKUP(B11,WORKSHEET!$O$4:$AM$60,24,FALSE))</f>
        <v>1</v>
      </c>
      <c r="O11" s="22">
        <f t="shared" si="4"/>
        <v>0.33333333333333331</v>
      </c>
      <c r="P11" s="80"/>
    </row>
    <row r="12" spans="2:20" s="8" customFormat="1" ht="16" x14ac:dyDescent="0.2">
      <c r="C12" s="30" t="s">
        <v>71</v>
      </c>
      <c r="D12" s="31">
        <f>SUM(D8:D11)</f>
        <v>20</v>
      </c>
      <c r="E12" s="32">
        <f>SUM(E8:E11)</f>
        <v>5</v>
      </c>
      <c r="F12" s="29">
        <f>IFERROR(E12/D12,0)</f>
        <v>0.25</v>
      </c>
      <c r="G12" s="32">
        <f>SUM(G8:G11)</f>
        <v>15</v>
      </c>
      <c r="H12" s="21">
        <f>IFERROR(G12/D12,0)</f>
        <v>0.75</v>
      </c>
      <c r="I12" s="32">
        <f t="shared" ref="I12:K12" si="5">SUM(I8:I11)</f>
        <v>0</v>
      </c>
      <c r="J12" s="32">
        <f t="shared" si="5"/>
        <v>0</v>
      </c>
      <c r="K12" s="32">
        <f t="shared" si="5"/>
        <v>0</v>
      </c>
      <c r="L12" s="32">
        <f t="shared" ref="L12" si="6">SUM(I12:K12)</f>
        <v>0</v>
      </c>
      <c r="M12" s="33">
        <f>IFERROR(SUM(I12:K12)/D12,0)</f>
        <v>0</v>
      </c>
      <c r="N12" s="32">
        <f>SUM(N8:N11)</f>
        <v>5</v>
      </c>
      <c r="O12" s="33">
        <f>IFERROR(N12/D12,0)</f>
        <v>0.25</v>
      </c>
      <c r="P12" s="80"/>
    </row>
    <row r="13" spans="2:20" x14ac:dyDescent="0.15">
      <c r="C13" s="81" t="s">
        <v>56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27"/>
    </row>
    <row r="14" spans="2:20" ht="16" x14ac:dyDescent="0.2">
      <c r="B14" s="8" t="s">
        <v>112</v>
      </c>
      <c r="C14" s="18" t="str">
        <f>IFERROR(VLOOKUP(B14,WORKSHEET!$O$4:$AM$60,8,FALSE),"")</f>
        <v>Audi Escondido</v>
      </c>
      <c r="D14" s="19">
        <f>IF(C14="","",VLOOKUP(B14,WORKSHEET!$O$4:$AM$60,9,FALSE))</f>
        <v>14</v>
      </c>
      <c r="E14" s="20">
        <f>IF(C14="","",VLOOKUP(B14,WORKSHEET!$O$4:$AM$60,10,FALSE))</f>
        <v>9</v>
      </c>
      <c r="F14" s="29">
        <f t="shared" ref="F14:F19" si="7">IF(C14="","",IFERROR(E14/D14,0))</f>
        <v>0.6428571428571429</v>
      </c>
      <c r="G14" s="19">
        <f>IF(C14="","",VLOOKUP(B14,WORKSHEET!$O$4:$AM$60,16,FALSE))</f>
        <v>10</v>
      </c>
      <c r="H14" s="21">
        <f t="shared" ref="H14:H19" si="8">IF(C14="","",IFERROR(G14/D14,0))</f>
        <v>0.7142857142857143</v>
      </c>
      <c r="I14" s="20">
        <f>IF(C14="","",VLOOKUP(B14,WORKSHEET!$O$4:$AM$60,18,FALSE))</f>
        <v>2</v>
      </c>
      <c r="J14" s="19">
        <f>IF(C14="","",VLOOKUP(B14,WORKSHEET!$O$4:$AM$60,19,FALSE))</f>
        <v>0</v>
      </c>
      <c r="K14" s="19">
        <f>IF(C14="","",VLOOKUP(B14,WORKSHEET!$O$4:$AM$60,20,FALSE))</f>
        <v>0</v>
      </c>
      <c r="L14" s="19">
        <f t="shared" ref="L14:L19" si="9">IF(C14="","",SUM(I14:K14))</f>
        <v>2</v>
      </c>
      <c r="M14" s="22">
        <f t="shared" ref="M14:M19" si="10">IF(C14="","",IFERROR(SUM(I14:K14)/D14,0))</f>
        <v>0.14285714285714285</v>
      </c>
      <c r="N14" s="23">
        <f>IF(C14="","",VLOOKUP(B14,WORKSHEET!$O$4:$AM$60,22,FALSE)+VLOOKUP(B14,WORKSHEET!$O$4:$AM$60,23,FALSE)+VLOOKUP(B14,WORKSHEET!$O$4:$AM$60,24,FALSE))</f>
        <v>2</v>
      </c>
      <c r="O14" s="22">
        <f t="shared" ref="O14:O19" si="11">IF(C14="","",IFERROR(N14/D14,0))</f>
        <v>0.14285714285714285</v>
      </c>
      <c r="P14" s="79">
        <v>0.54</v>
      </c>
    </row>
    <row r="15" spans="2:20" ht="16" x14ac:dyDescent="0.2">
      <c r="B15" s="8" t="s">
        <v>110</v>
      </c>
      <c r="C15" s="18" t="str">
        <f>IFERROR(VLOOKUP(B15,WORKSHEET!$O$4:$AM$60,8,FALSE),"")</f>
        <v>Audi North Scottsdale</v>
      </c>
      <c r="D15" s="19">
        <f>IF(C15="","",VLOOKUP(B15,WORKSHEET!$O$4:$AM$60,9,FALSE))</f>
        <v>17</v>
      </c>
      <c r="E15" s="20">
        <f>IF(C15="","",VLOOKUP(B15,WORKSHEET!$O$4:$AM$60,10,FALSE))</f>
        <v>7</v>
      </c>
      <c r="F15" s="29">
        <f t="shared" si="7"/>
        <v>0.41176470588235292</v>
      </c>
      <c r="G15" s="19">
        <f>IF(C15="","",VLOOKUP(B15,WORKSHEET!$O$4:$AM$60,16,FALSE))</f>
        <v>10</v>
      </c>
      <c r="H15" s="21">
        <f t="shared" si="8"/>
        <v>0.58823529411764708</v>
      </c>
      <c r="I15" s="20">
        <f>IF(C15="","",VLOOKUP(B15,WORKSHEET!$O$4:$AM$60,18,FALSE))</f>
        <v>2</v>
      </c>
      <c r="J15" s="19">
        <f>IF(C15="","",VLOOKUP(B15,WORKSHEET!$O$4:$AM$60,19,FALSE))</f>
        <v>3</v>
      </c>
      <c r="K15" s="19">
        <f>IF(C15="","",VLOOKUP(B15,WORKSHEET!$O$4:$AM$60,20,FALSE))</f>
        <v>0</v>
      </c>
      <c r="L15" s="19">
        <f t="shared" si="9"/>
        <v>5</v>
      </c>
      <c r="M15" s="22">
        <f t="shared" si="10"/>
        <v>0.29411764705882354</v>
      </c>
      <c r="N15" s="23">
        <f>IF(C15="","",VLOOKUP(B15,WORKSHEET!$O$4:$AM$60,22,FALSE)+VLOOKUP(B15,WORKSHEET!$O$4:$AM$60,23,FALSE)+VLOOKUP(B15,WORKSHEET!$O$4:$AM$60,24,FALSE))</f>
        <v>2</v>
      </c>
      <c r="O15" s="22">
        <f t="shared" si="11"/>
        <v>0.11764705882352941</v>
      </c>
      <c r="P15" s="79"/>
    </row>
    <row r="16" spans="2:20" ht="16" x14ac:dyDescent="0.2">
      <c r="B16" s="8" t="s">
        <v>109</v>
      </c>
      <c r="C16" s="18" t="str">
        <f>IFERROR(VLOOKUP(B16,WORKSHEET!$O$4:$AM$60,8,FALSE),"")</f>
        <v>Audi South Coast</v>
      </c>
      <c r="D16" s="19">
        <f>IF(C16="","",VLOOKUP(B16,WORKSHEET!$O$4:$AM$60,9,FALSE))</f>
        <v>30</v>
      </c>
      <c r="E16" s="20">
        <f>IF(C16="","",VLOOKUP(B16,WORKSHEET!$O$4:$AM$60,10,FALSE))</f>
        <v>11</v>
      </c>
      <c r="F16" s="29">
        <f t="shared" si="7"/>
        <v>0.36666666666666664</v>
      </c>
      <c r="G16" s="19">
        <f>IF(C16="","",VLOOKUP(B16,WORKSHEET!$O$4:$AM$60,16,FALSE))</f>
        <v>18</v>
      </c>
      <c r="H16" s="21">
        <f t="shared" si="8"/>
        <v>0.6</v>
      </c>
      <c r="I16" s="20">
        <f>IF(C16="","",VLOOKUP(B16,WORKSHEET!$O$4:$AM$60,18,FALSE))</f>
        <v>0</v>
      </c>
      <c r="J16" s="19">
        <f>IF(C16="","",VLOOKUP(B16,WORKSHEET!$O$4:$AM$60,19,FALSE))</f>
        <v>0</v>
      </c>
      <c r="K16" s="19">
        <f>IF(C16="","",VLOOKUP(B16,WORKSHEET!$O$4:$AM$60,20,FALSE))</f>
        <v>0</v>
      </c>
      <c r="L16" s="19">
        <f t="shared" si="9"/>
        <v>0</v>
      </c>
      <c r="M16" s="22">
        <f t="shared" si="10"/>
        <v>0</v>
      </c>
      <c r="N16" s="23">
        <f>IF(C16="","",VLOOKUP(B16,WORKSHEET!$O$4:$AM$60,22,FALSE)+VLOOKUP(B16,WORKSHEET!$O$4:$AM$60,23,FALSE)+VLOOKUP(B16,WORKSHEET!$O$4:$AM$60,24,FALSE))</f>
        <v>12</v>
      </c>
      <c r="O16" s="22">
        <f t="shared" si="11"/>
        <v>0.4</v>
      </c>
      <c r="P16" s="79"/>
    </row>
    <row r="17" spans="2:16" ht="16" x14ac:dyDescent="0.2">
      <c r="B17" s="8" t="s">
        <v>111</v>
      </c>
      <c r="C17" s="18" t="str">
        <f>IFERROR(VLOOKUP(B17,WORKSHEET!$O$4:$AM$60,8,FALSE),"")</f>
        <v>Audi San Jose</v>
      </c>
      <c r="D17" s="19">
        <f>IF(C17="","",VLOOKUP(B17,WORKSHEET!$O$4:$AM$60,9,FALSE))</f>
        <v>44</v>
      </c>
      <c r="E17" s="20">
        <f>IF(C17="","",VLOOKUP(B17,WORKSHEET!$O$4:$AM$60,10,FALSE))</f>
        <v>13</v>
      </c>
      <c r="F17" s="29">
        <f t="shared" si="7"/>
        <v>0.29545454545454547</v>
      </c>
      <c r="G17" s="19">
        <f>IF(C17="","",VLOOKUP(B17,WORKSHEET!$O$4:$AM$60,16,FALSE))</f>
        <v>33</v>
      </c>
      <c r="H17" s="21">
        <f t="shared" si="8"/>
        <v>0.75</v>
      </c>
      <c r="I17" s="20">
        <f>IF(C17="","",VLOOKUP(B17,WORKSHEET!$O$4:$AM$60,18,FALSE))</f>
        <v>0</v>
      </c>
      <c r="J17" s="19">
        <f>IF(C17="","",VLOOKUP(B17,WORKSHEET!$O$4:$AM$60,19,FALSE))</f>
        <v>0</v>
      </c>
      <c r="K17" s="19">
        <f>IF(C17="","",VLOOKUP(B17,WORKSHEET!$O$4:$AM$60,20,FALSE))</f>
        <v>0</v>
      </c>
      <c r="L17" s="19">
        <f t="shared" si="9"/>
        <v>0</v>
      </c>
      <c r="M17" s="22">
        <f t="shared" si="10"/>
        <v>0</v>
      </c>
      <c r="N17" s="23">
        <f>IF(C17="","",VLOOKUP(B17,WORKSHEET!$O$4:$AM$60,22,FALSE)+VLOOKUP(B17,WORKSHEET!$O$4:$AM$60,23,FALSE)+VLOOKUP(B17,WORKSHEET!$O$4:$AM$60,24,FALSE))</f>
        <v>11</v>
      </c>
      <c r="O17" s="22">
        <f t="shared" si="11"/>
        <v>0.25</v>
      </c>
      <c r="P17" s="79"/>
    </row>
    <row r="18" spans="2:16" ht="16" x14ac:dyDescent="0.2">
      <c r="B18" s="8" t="s">
        <v>108</v>
      </c>
      <c r="C18" s="18" t="str">
        <f>IFERROR(VLOOKUP(B18,WORKSHEET!$O$4:$AM$60,8,FALSE),"")</f>
        <v>Audi Chandler</v>
      </c>
      <c r="D18" s="19">
        <f>IF(C18="","",VLOOKUP(B18,WORKSHEET!$O$4:$AM$60,9,FALSE))</f>
        <v>4</v>
      </c>
      <c r="E18" s="20">
        <f>IF(C18="","",VLOOKUP(B18,WORKSHEET!$O$4:$AM$60,10,FALSE))</f>
        <v>1</v>
      </c>
      <c r="F18" s="29">
        <f t="shared" ref="F18" si="12">IF(C18="","",IFERROR(E18/D18,0))</f>
        <v>0.25</v>
      </c>
      <c r="G18" s="19">
        <f>IF(C18="","",VLOOKUP(B18,WORKSHEET!$O$4:$AM$60,16,FALSE))</f>
        <v>1</v>
      </c>
      <c r="H18" s="21">
        <f t="shared" ref="H18" si="13">IF(C18="","",IFERROR(G18/D18,0))</f>
        <v>0.25</v>
      </c>
      <c r="I18" s="20">
        <f>IF(C18="","",VLOOKUP(B18,WORKSHEET!$O$4:$AM$60,18,FALSE))</f>
        <v>0</v>
      </c>
      <c r="J18" s="19">
        <f>IF(C18="","",VLOOKUP(B18,WORKSHEET!$O$4:$AM$60,19,FALSE))</f>
        <v>0</v>
      </c>
      <c r="K18" s="19">
        <f>IF(C18="","",VLOOKUP(B18,WORKSHEET!$O$4:$AM$60,20,FALSE))</f>
        <v>0</v>
      </c>
      <c r="L18" s="19">
        <f t="shared" ref="L18" si="14">IF(C18="","",SUM(I18:K18))</f>
        <v>0</v>
      </c>
      <c r="M18" s="22">
        <f t="shared" ref="M18" si="15">IF(C18="","",IFERROR(SUM(I18:K18)/D18,0))</f>
        <v>0</v>
      </c>
      <c r="N18" s="23">
        <f>IF(C18="","",VLOOKUP(B18,WORKSHEET!$O$4:$AM$60,22,FALSE)+VLOOKUP(B18,WORKSHEET!$O$4:$AM$60,23,FALSE)+VLOOKUP(B18,WORKSHEET!$O$4:$AM$60,24,FALSE))</f>
        <v>3</v>
      </c>
      <c r="O18" s="22">
        <f t="shared" ref="O18" si="16">IF(C18="","",IFERROR(N18/D18,0))</f>
        <v>0.75</v>
      </c>
      <c r="P18" s="79"/>
    </row>
    <row r="19" spans="2:16" ht="16" x14ac:dyDescent="0.2">
      <c r="B19" s="8" t="s">
        <v>258</v>
      </c>
      <c r="C19" s="18" t="str">
        <f>IFERROR(VLOOKUP(B19,WORKSHEET!$O$4:$AM$60,8,FALSE),"")</f>
        <v>Audi North OC</v>
      </c>
      <c r="D19" s="19">
        <f>IF(C19="","",VLOOKUP(B19,WORKSHEET!$O$4:$AM$60,9,FALSE))</f>
        <v>2</v>
      </c>
      <c r="E19" s="20">
        <f>IF(C19="","",VLOOKUP(B19,WORKSHEET!$O$4:$AM$60,10,FALSE))</f>
        <v>0</v>
      </c>
      <c r="F19" s="29">
        <f t="shared" si="7"/>
        <v>0</v>
      </c>
      <c r="G19" s="19">
        <f>IF(C19="","",VLOOKUP(B19,WORKSHEET!$O$4:$AM$60,16,FALSE))</f>
        <v>1</v>
      </c>
      <c r="H19" s="21">
        <f t="shared" si="8"/>
        <v>0.5</v>
      </c>
      <c r="I19" s="20">
        <f>IF(C19="","",VLOOKUP(B19,WORKSHEET!$O$4:$AM$60,18,FALSE))</f>
        <v>0</v>
      </c>
      <c r="J19" s="19">
        <f>IF(C19="","",VLOOKUP(B19,WORKSHEET!$O$4:$AM$60,19,FALSE))</f>
        <v>0</v>
      </c>
      <c r="K19" s="19">
        <f>IF(C19="","",VLOOKUP(B19,WORKSHEET!$O$4:$AM$60,20,FALSE))</f>
        <v>0</v>
      </c>
      <c r="L19" s="19">
        <f t="shared" si="9"/>
        <v>0</v>
      </c>
      <c r="M19" s="22">
        <f t="shared" si="10"/>
        <v>0</v>
      </c>
      <c r="N19" s="23">
        <f>IF(C19="","",VLOOKUP(B19,WORKSHEET!$O$4:$AM$60,22,FALSE)+VLOOKUP(B19,WORKSHEET!$O$4:$AM$60,23,FALSE)+VLOOKUP(B19,WORKSHEET!$O$4:$AM$60,24,FALSE))</f>
        <v>1</v>
      </c>
      <c r="O19" s="22">
        <f t="shared" si="11"/>
        <v>0.5</v>
      </c>
      <c r="P19" s="79"/>
    </row>
    <row r="20" spans="2:16" s="8" customFormat="1" ht="16" x14ac:dyDescent="0.2">
      <c r="C20" s="30" t="s">
        <v>71</v>
      </c>
      <c r="D20" s="31">
        <f>SUM(D14:D19)</f>
        <v>111</v>
      </c>
      <c r="E20" s="32">
        <f>SUM(E14:E19)</f>
        <v>41</v>
      </c>
      <c r="F20" s="29">
        <f>IFERROR(E20/D20,0)</f>
        <v>0.36936936936936937</v>
      </c>
      <c r="G20" s="32">
        <f>SUM(G14:G19)</f>
        <v>73</v>
      </c>
      <c r="H20" s="21">
        <f>IFERROR(G20/D20,0)</f>
        <v>0.65765765765765771</v>
      </c>
      <c r="I20" s="32">
        <f t="shared" ref="I20:K20" si="17">SUM(I14:I19)</f>
        <v>4</v>
      </c>
      <c r="J20" s="32">
        <f t="shared" si="17"/>
        <v>3</v>
      </c>
      <c r="K20" s="32">
        <f t="shared" si="17"/>
        <v>0</v>
      </c>
      <c r="L20" s="32">
        <f t="shared" ref="L20" si="18">SUM(I20:K20)</f>
        <v>7</v>
      </c>
      <c r="M20" s="33">
        <f>IFERROR(SUM(I20:K20)/D20,0)</f>
        <v>6.3063063063063057E-2</v>
      </c>
      <c r="N20" s="32">
        <f>SUM(N14:N19)</f>
        <v>31</v>
      </c>
      <c r="O20" s="33">
        <f>IFERROR(N20/D20,0)</f>
        <v>0.27927927927927926</v>
      </c>
      <c r="P20" s="79"/>
    </row>
    <row r="21" spans="2:16" x14ac:dyDescent="0.15">
      <c r="C21" s="81" t="s">
        <v>57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27"/>
    </row>
    <row r="22" spans="2:16" ht="16" x14ac:dyDescent="0.2">
      <c r="B22" s="8" t="s">
        <v>113</v>
      </c>
      <c r="C22" s="18" t="str">
        <f>IFERROR(VLOOKUP(B22,WORKSHEET!$O$4:$AM$60,8,FALSE),"")</f>
        <v>Bentley Scottsdale</v>
      </c>
      <c r="D22" s="19">
        <f>IF(C22="","",VLOOKUP(B22,WORKSHEET!$O$4:$AM$60,9,FALSE))</f>
        <v>1</v>
      </c>
      <c r="E22" s="20">
        <f>IF(C22="","",VLOOKUP(B22,WORKSHEET!$O$4:$AM$60,10,FALSE))</f>
        <v>0</v>
      </c>
      <c r="F22" s="29">
        <f>IF(C22="","",IFERROR(E22/D22,0))</f>
        <v>0</v>
      </c>
      <c r="G22" s="19">
        <f>IF(C22="","",VLOOKUP(B22,WORKSHEET!$O$4:$AM$60,16,FALSE))</f>
        <v>0</v>
      </c>
      <c r="H22" s="21">
        <f>IF(C22="","",IFERROR(G22/D22,0))</f>
        <v>0</v>
      </c>
      <c r="I22" s="20">
        <f>IF(C22="","",VLOOKUP(B22,WORKSHEET!$O$4:$AM$60,18,FALSE))</f>
        <v>1</v>
      </c>
      <c r="J22" s="19">
        <f>IF(C22="","",VLOOKUP(B22,WORKSHEET!$O$4:$AM$60,19,FALSE))</f>
        <v>0</v>
      </c>
      <c r="K22" s="19">
        <f>IF(C22="","",VLOOKUP(B22,WORKSHEET!$O$4:$AM$60,20,FALSE))</f>
        <v>0</v>
      </c>
      <c r="L22" s="19">
        <f>IF(C22="","",SUM(I22:K22))</f>
        <v>1</v>
      </c>
      <c r="M22" s="22">
        <f>IF(C22="","",IFERROR(SUM(I22:K22)/D22,0))</f>
        <v>1</v>
      </c>
      <c r="N22" s="23">
        <f>IF(C22="","",VLOOKUP(B22,WORKSHEET!$O$4:$AM$60,22,FALSE)+VLOOKUP(B22,WORKSHEET!$O$4:$AM$60,23,FALSE)+VLOOKUP(B22,WORKSHEET!$O$4:$AM$60,24,FALSE))</f>
        <v>0</v>
      </c>
      <c r="O22" s="22">
        <f>IF(C22="","",IFERROR(N22/D22,0))</f>
        <v>0</v>
      </c>
      <c r="P22" s="34"/>
    </row>
    <row r="23" spans="2:16" s="8" customFormat="1" ht="16" x14ac:dyDescent="0.2">
      <c r="C23" s="30" t="s">
        <v>71</v>
      </c>
      <c r="D23" s="31">
        <f>SUM(D22)</f>
        <v>1</v>
      </c>
      <c r="E23" s="32">
        <f>SUM(E22)</f>
        <v>0</v>
      </c>
      <c r="F23" s="29">
        <f>IFERROR(E23/D23,0)</f>
        <v>0</v>
      </c>
      <c r="G23" s="32">
        <f>SUM(G22)</f>
        <v>0</v>
      </c>
      <c r="H23" s="21">
        <f>IFERROR(G23/D23,0)</f>
        <v>0</v>
      </c>
      <c r="I23" s="32">
        <f t="shared" ref="I23:K23" si="19">SUM(I22)</f>
        <v>1</v>
      </c>
      <c r="J23" s="32">
        <f t="shared" si="19"/>
        <v>0</v>
      </c>
      <c r="K23" s="32">
        <f t="shared" si="19"/>
        <v>0</v>
      </c>
      <c r="L23" s="32">
        <f t="shared" ref="L23" si="20">SUM(I23:K23)</f>
        <v>1</v>
      </c>
      <c r="M23" s="33">
        <f>IFERROR(SUM(I23:K23)/D23,0)</f>
        <v>1</v>
      </c>
      <c r="N23" s="32">
        <f>SUM(N22)</f>
        <v>0</v>
      </c>
      <c r="O23" s="33">
        <f>IFERROR(N23/D23,0)</f>
        <v>0</v>
      </c>
      <c r="P23" s="35"/>
    </row>
    <row r="24" spans="2:16" x14ac:dyDescent="0.15">
      <c r="C24" s="81" t="s">
        <v>58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27"/>
    </row>
    <row r="25" spans="2:16" ht="16" x14ac:dyDescent="0.2">
      <c r="B25" s="8" t="s">
        <v>115</v>
      </c>
      <c r="C25" s="18" t="str">
        <f>IFERROR(VLOOKUP(B25,WORKSHEET!$O$4:$AM$60,8,FALSE),"")</f>
        <v>BMW of San Diego</v>
      </c>
      <c r="D25" s="19">
        <f>IF(C25="","",VLOOKUP(B25,WORKSHEET!$O$4:$AM$60,9,FALSE))</f>
        <v>59</v>
      </c>
      <c r="E25" s="20">
        <f>IF(C25="","",VLOOKUP(B25,WORKSHEET!$O$4:$AM$60,10,FALSE))</f>
        <v>26</v>
      </c>
      <c r="F25" s="29">
        <f t="shared" ref="F25:F31" si="21">IF(C25="","",IFERROR(E25/D25,0))</f>
        <v>0.44067796610169491</v>
      </c>
      <c r="G25" s="19">
        <f>IF(C25="","",VLOOKUP(B25,WORKSHEET!$O$4:$AM$60,16,FALSE))</f>
        <v>45</v>
      </c>
      <c r="H25" s="21">
        <f t="shared" ref="H25:H31" si="22">IF(C25="","",IFERROR(G25/D25,0))</f>
        <v>0.76271186440677963</v>
      </c>
      <c r="I25" s="20">
        <f>IF(C25="","",VLOOKUP(B25,WORKSHEET!$O$4:$AM$60,18,FALSE))</f>
        <v>4</v>
      </c>
      <c r="J25" s="19">
        <f>IF(C25="","",VLOOKUP(B25,WORKSHEET!$O$4:$AM$60,19,FALSE))</f>
        <v>0</v>
      </c>
      <c r="K25" s="19">
        <f>IF(C25="","",VLOOKUP(B25,WORKSHEET!$O$4:$AM$60,20,FALSE))</f>
        <v>7</v>
      </c>
      <c r="L25" s="19">
        <f t="shared" ref="L25:L31" si="23">IF(C25="","",SUM(I25:K25))</f>
        <v>11</v>
      </c>
      <c r="M25" s="22">
        <f t="shared" ref="M25:M31" si="24">IF(C25="","",IFERROR(SUM(I25:K25)/D25,0))</f>
        <v>0.1864406779661017</v>
      </c>
      <c r="N25" s="23">
        <f>IF(C25="","",VLOOKUP(B25,WORKSHEET!$O$4:$AM$60,22,FALSE)+VLOOKUP(B25,WORKSHEET!$O$4:$AM$60,23,FALSE)+VLOOKUP(B25,WORKSHEET!$O$4:$AM$60,24,FALSE))</f>
        <v>3</v>
      </c>
      <c r="O25" s="22">
        <f t="shared" ref="O25:O31" si="25">IF(C25="","",IFERROR(N25/D25,0))</f>
        <v>5.0847457627118647E-2</v>
      </c>
      <c r="P25" s="79">
        <v>0.52</v>
      </c>
    </row>
    <row r="26" spans="2:16" ht="16" x14ac:dyDescent="0.2">
      <c r="B26" s="8" t="s">
        <v>117</v>
      </c>
      <c r="C26" s="18" t="str">
        <f>IFERROR(VLOOKUP(B26,WORKSHEET!$O$4:$AM$60,8,FALSE),"")</f>
        <v>Peter Pan BMW</v>
      </c>
      <c r="D26" s="19">
        <f>IF(C26="","",VLOOKUP(B26,WORKSHEET!$O$4:$AM$60,9,FALSE))</f>
        <v>62</v>
      </c>
      <c r="E26" s="20">
        <f>IF(C26="","",VLOOKUP(B26,WORKSHEET!$O$4:$AM$60,10,FALSE))</f>
        <v>25</v>
      </c>
      <c r="F26" s="29">
        <f t="shared" si="21"/>
        <v>0.40322580645161288</v>
      </c>
      <c r="G26" s="19">
        <f>IF(C26="","",VLOOKUP(B26,WORKSHEET!$O$4:$AM$60,16,FALSE))</f>
        <v>42</v>
      </c>
      <c r="H26" s="21">
        <f t="shared" si="22"/>
        <v>0.67741935483870963</v>
      </c>
      <c r="I26" s="20">
        <f>IF(C26="","",VLOOKUP(B26,WORKSHEET!$O$4:$AM$60,18,FALSE))</f>
        <v>6</v>
      </c>
      <c r="J26" s="19">
        <f>IF(C26="","",VLOOKUP(B26,WORKSHEET!$O$4:$AM$60,19,FALSE))</f>
        <v>0</v>
      </c>
      <c r="K26" s="19">
        <f>IF(C26="","",VLOOKUP(B26,WORKSHEET!$O$4:$AM$60,20,FALSE))</f>
        <v>0</v>
      </c>
      <c r="L26" s="19">
        <f t="shared" si="23"/>
        <v>6</v>
      </c>
      <c r="M26" s="22">
        <f t="shared" si="24"/>
        <v>9.6774193548387094E-2</v>
      </c>
      <c r="N26" s="23">
        <f>IF(C26="","",VLOOKUP(B26,WORKSHEET!$O$4:$AM$60,22,FALSE)+VLOOKUP(B26,WORKSHEET!$O$4:$AM$60,23,FALSE)+VLOOKUP(B26,WORKSHEET!$O$4:$AM$60,24,FALSE))</f>
        <v>14</v>
      </c>
      <c r="O26" s="22">
        <f t="shared" si="25"/>
        <v>0.22580645161290322</v>
      </c>
      <c r="P26" s="79"/>
    </row>
    <row r="27" spans="2:16" ht="16" x14ac:dyDescent="0.2">
      <c r="B27" s="8" t="s">
        <v>119</v>
      </c>
      <c r="C27" s="18" t="str">
        <f>IFERROR(VLOOKUP(B27,WORKSHEET!$O$4:$AM$60,8,FALSE),"")</f>
        <v>Crevier BMW</v>
      </c>
      <c r="D27" s="19">
        <f>IF(C27="","",VLOOKUP(B27,WORKSHEET!$O$4:$AM$60,9,FALSE))</f>
        <v>137</v>
      </c>
      <c r="E27" s="20">
        <f>IF(C27="","",VLOOKUP(B27,WORKSHEET!$O$4:$AM$60,10,FALSE))</f>
        <v>55</v>
      </c>
      <c r="F27" s="29">
        <f t="shared" si="21"/>
        <v>0.40145985401459855</v>
      </c>
      <c r="G27" s="19">
        <f>IF(C27="","",VLOOKUP(B27,WORKSHEET!$O$4:$AM$60,16,FALSE))</f>
        <v>87</v>
      </c>
      <c r="H27" s="21">
        <f t="shared" si="22"/>
        <v>0.63503649635036497</v>
      </c>
      <c r="I27" s="20">
        <f>IF(C27="","",VLOOKUP(B27,WORKSHEET!$O$4:$AM$60,18,FALSE))</f>
        <v>0</v>
      </c>
      <c r="J27" s="19">
        <f>IF(C27="","",VLOOKUP(B27,WORKSHEET!$O$4:$AM$60,19,FALSE))</f>
        <v>0</v>
      </c>
      <c r="K27" s="19">
        <f>IF(C27="","",VLOOKUP(B27,WORKSHEET!$O$4:$AM$60,20,FALSE))</f>
        <v>0</v>
      </c>
      <c r="L27" s="19">
        <f t="shared" si="23"/>
        <v>0</v>
      </c>
      <c r="M27" s="22">
        <f t="shared" si="24"/>
        <v>0</v>
      </c>
      <c r="N27" s="23">
        <f>IF(C27="","",VLOOKUP(B27,WORKSHEET!$O$4:$AM$60,22,FALSE)+VLOOKUP(B27,WORKSHEET!$O$4:$AM$60,23,FALSE)+VLOOKUP(B27,WORKSHEET!$O$4:$AM$60,24,FALSE))</f>
        <v>50</v>
      </c>
      <c r="O27" s="22">
        <f t="shared" si="25"/>
        <v>0.36496350364963503</v>
      </c>
      <c r="P27" s="79"/>
    </row>
    <row r="28" spans="2:16" ht="16" x14ac:dyDescent="0.2">
      <c r="B28" s="8" t="s">
        <v>114</v>
      </c>
      <c r="C28" s="18" t="str">
        <f>IFERROR(VLOOKUP(B28,WORKSHEET!$O$4:$AM$60,8,FALSE),"")</f>
        <v>BMW of Austin</v>
      </c>
      <c r="D28" s="19">
        <f>IF(C28="","",VLOOKUP(B28,WORKSHEET!$O$4:$AM$60,9,FALSE))</f>
        <v>35</v>
      </c>
      <c r="E28" s="20">
        <f>IF(C28="","",VLOOKUP(B28,WORKSHEET!$O$4:$AM$60,10,FALSE))</f>
        <v>13</v>
      </c>
      <c r="F28" s="29">
        <f t="shared" si="21"/>
        <v>0.37142857142857144</v>
      </c>
      <c r="G28" s="19">
        <f>IF(C28="","",VLOOKUP(B28,WORKSHEET!$O$4:$AM$60,16,FALSE))</f>
        <v>24</v>
      </c>
      <c r="H28" s="21">
        <f t="shared" si="22"/>
        <v>0.68571428571428572</v>
      </c>
      <c r="I28" s="20">
        <f>IF(C28="","",VLOOKUP(B28,WORKSHEET!$O$4:$AM$60,18,FALSE))</f>
        <v>0</v>
      </c>
      <c r="J28" s="19">
        <f>IF(C28="","",VLOOKUP(B28,WORKSHEET!$O$4:$AM$60,19,FALSE))</f>
        <v>0</v>
      </c>
      <c r="K28" s="19">
        <f>IF(C28="","",VLOOKUP(B28,WORKSHEET!$O$4:$AM$60,20,FALSE))</f>
        <v>0</v>
      </c>
      <c r="L28" s="19">
        <f t="shared" si="23"/>
        <v>0</v>
      </c>
      <c r="M28" s="22">
        <f t="shared" si="24"/>
        <v>0</v>
      </c>
      <c r="N28" s="23">
        <f>IF(C28="","",VLOOKUP(B28,WORKSHEET!$O$4:$AM$60,22,FALSE)+VLOOKUP(B28,WORKSHEET!$O$4:$AM$60,23,FALSE)+VLOOKUP(B28,WORKSHEET!$O$4:$AM$60,24,FALSE))</f>
        <v>11</v>
      </c>
      <c r="O28" s="22">
        <f t="shared" si="25"/>
        <v>0.31428571428571428</v>
      </c>
      <c r="P28" s="79"/>
    </row>
    <row r="29" spans="2:16" ht="16" x14ac:dyDescent="0.2">
      <c r="B29" s="8" t="s">
        <v>116</v>
      </c>
      <c r="C29" s="18" t="str">
        <f>IFERROR(VLOOKUP(B29,WORKSHEET!$O$4:$AM$60,8,FALSE),"")</f>
        <v>BMW of Ontario</v>
      </c>
      <c r="D29" s="19">
        <f>IF(C29="","",VLOOKUP(B29,WORKSHEET!$O$4:$AM$60,9,FALSE))</f>
        <v>47</v>
      </c>
      <c r="E29" s="20">
        <f>IF(C29="","",VLOOKUP(B29,WORKSHEET!$O$4:$AM$60,10,FALSE))</f>
        <v>16</v>
      </c>
      <c r="F29" s="29">
        <f t="shared" si="21"/>
        <v>0.34042553191489361</v>
      </c>
      <c r="G29" s="19">
        <f>IF(C29="","",VLOOKUP(B29,WORKSHEET!$O$4:$AM$60,16,FALSE))</f>
        <v>26</v>
      </c>
      <c r="H29" s="21">
        <f t="shared" si="22"/>
        <v>0.55319148936170215</v>
      </c>
      <c r="I29" s="20">
        <f>IF(C29="","",VLOOKUP(B29,WORKSHEET!$O$4:$AM$60,18,FALSE))</f>
        <v>0</v>
      </c>
      <c r="J29" s="19">
        <f>IF(C29="","",VLOOKUP(B29,WORKSHEET!$O$4:$AM$60,19,FALSE))</f>
        <v>3</v>
      </c>
      <c r="K29" s="19">
        <f>IF(C29="","",VLOOKUP(B29,WORKSHEET!$O$4:$AM$60,20,FALSE))</f>
        <v>0</v>
      </c>
      <c r="L29" s="19">
        <f t="shared" si="23"/>
        <v>3</v>
      </c>
      <c r="M29" s="22">
        <f t="shared" si="24"/>
        <v>6.3829787234042548E-2</v>
      </c>
      <c r="N29" s="23">
        <f>IF(C29="","",VLOOKUP(B29,WORKSHEET!$O$4:$AM$60,22,FALSE)+VLOOKUP(B29,WORKSHEET!$O$4:$AM$60,23,FALSE)+VLOOKUP(B29,WORKSHEET!$O$4:$AM$60,24,FALSE))</f>
        <v>18</v>
      </c>
      <c r="O29" s="22">
        <f t="shared" si="25"/>
        <v>0.38297872340425532</v>
      </c>
      <c r="P29" s="79"/>
    </row>
    <row r="30" spans="2:16" ht="16" x14ac:dyDescent="0.2">
      <c r="B30" s="8" t="s">
        <v>144</v>
      </c>
      <c r="C30" s="18" t="str">
        <f>IFERROR(VLOOKUP(B30,WORKSHEET!$O$4:$AM$60,8,FALSE),"")</f>
        <v>BMW North Scottsdale</v>
      </c>
      <c r="D30" s="19">
        <f>IF(C30="","",VLOOKUP(B30,WORKSHEET!$O$4:$AM$60,9,FALSE))</f>
        <v>73</v>
      </c>
      <c r="E30" s="20">
        <f>IF(C30="","",VLOOKUP(B30,WORKSHEET!$O$4:$AM$60,10,FALSE))</f>
        <v>17</v>
      </c>
      <c r="F30" s="29">
        <f t="shared" ref="F30" si="26">IF(C30="","",IFERROR(E30/D30,0))</f>
        <v>0.23287671232876711</v>
      </c>
      <c r="G30" s="19">
        <f>IF(C30="","",VLOOKUP(B30,WORKSHEET!$O$4:$AM$60,16,FALSE))</f>
        <v>40</v>
      </c>
      <c r="H30" s="21">
        <f t="shared" ref="H30" si="27">IF(C30="","",IFERROR(G30/D30,0))</f>
        <v>0.54794520547945202</v>
      </c>
      <c r="I30" s="20">
        <f>IF(C30="","",VLOOKUP(B30,WORKSHEET!$O$4:$AM$60,18,FALSE))</f>
        <v>0</v>
      </c>
      <c r="J30" s="19">
        <f>IF(C30="","",VLOOKUP(B30,WORKSHEET!$O$4:$AM$60,19,FALSE))</f>
        <v>0</v>
      </c>
      <c r="K30" s="19">
        <f>IF(C30="","",VLOOKUP(B30,WORKSHEET!$O$4:$AM$60,20,FALSE))</f>
        <v>0</v>
      </c>
      <c r="L30" s="19">
        <f t="shared" ref="L30" si="28">IF(C30="","",SUM(I30:K30))</f>
        <v>0</v>
      </c>
      <c r="M30" s="22">
        <f t="shared" ref="M30" si="29">IF(C30="","",IFERROR(SUM(I30:K30)/D30,0))</f>
        <v>0</v>
      </c>
      <c r="N30" s="23">
        <f>IF(C30="","",VLOOKUP(B30,WORKSHEET!$O$4:$AM$60,22,FALSE)+VLOOKUP(B30,WORKSHEET!$O$4:$AM$60,23,FALSE)+VLOOKUP(B30,WORKSHEET!$O$4:$AM$60,24,FALSE))</f>
        <v>33</v>
      </c>
      <c r="O30" s="22">
        <f t="shared" ref="O30" si="30">IF(C30="","",IFERROR(N30/D30,0))</f>
        <v>0.45205479452054792</v>
      </c>
      <c r="P30" s="79"/>
    </row>
    <row r="31" spans="2:16" ht="16" x14ac:dyDescent="0.2">
      <c r="B31" s="8" t="s">
        <v>256</v>
      </c>
      <c r="C31" s="18" t="str">
        <f>IFERROR(VLOOKUP(B31,WORKSHEET!$O$4:$AM$60,8,FALSE),"")</f>
        <v>BMW/MINI of Escondido</v>
      </c>
      <c r="D31" s="19">
        <f>IF(C31="","",VLOOKUP(B31,WORKSHEET!$O$4:$AM$60,9,FALSE))</f>
        <v>19</v>
      </c>
      <c r="E31" s="20">
        <f>IF(C31="","",VLOOKUP(B31,WORKSHEET!$O$4:$AM$60,10,FALSE))</f>
        <v>3</v>
      </c>
      <c r="F31" s="29">
        <f t="shared" si="21"/>
        <v>0.15789473684210525</v>
      </c>
      <c r="G31" s="19">
        <f>IF(C31="","",VLOOKUP(B31,WORKSHEET!$O$4:$AM$60,16,FALSE))</f>
        <v>6</v>
      </c>
      <c r="H31" s="21">
        <f t="shared" si="22"/>
        <v>0.31578947368421051</v>
      </c>
      <c r="I31" s="20">
        <f>IF(C31="","",VLOOKUP(B31,WORKSHEET!$O$4:$AM$60,18,FALSE))</f>
        <v>4</v>
      </c>
      <c r="J31" s="19">
        <f>IF(C31="","",VLOOKUP(B31,WORKSHEET!$O$4:$AM$60,19,FALSE))</f>
        <v>4</v>
      </c>
      <c r="K31" s="19">
        <f>IF(C31="","",VLOOKUP(B31,WORKSHEET!$O$4:$AM$60,20,FALSE))</f>
        <v>4</v>
      </c>
      <c r="L31" s="19">
        <f t="shared" si="23"/>
        <v>12</v>
      </c>
      <c r="M31" s="22">
        <f t="shared" si="24"/>
        <v>0.63157894736842102</v>
      </c>
      <c r="N31" s="23">
        <f>IF(C31="","",VLOOKUP(B31,WORKSHEET!$O$4:$AM$60,22,FALSE)+VLOOKUP(B31,WORKSHEET!$O$4:$AM$60,23,FALSE)+VLOOKUP(B31,WORKSHEET!$O$4:$AM$60,24,FALSE))</f>
        <v>1</v>
      </c>
      <c r="O31" s="22">
        <f t="shared" si="25"/>
        <v>5.2631578947368418E-2</v>
      </c>
      <c r="P31" s="79"/>
    </row>
    <row r="32" spans="2:16" s="8" customFormat="1" ht="16" x14ac:dyDescent="0.2">
      <c r="C32" s="30" t="s">
        <v>71</v>
      </c>
      <c r="D32" s="31">
        <f>SUM(D25:D31)</f>
        <v>432</v>
      </c>
      <c r="E32" s="32">
        <f>SUM(E25:E31)</f>
        <v>155</v>
      </c>
      <c r="F32" s="29">
        <f>IFERROR(E32/D32,0)</f>
        <v>0.35879629629629628</v>
      </c>
      <c r="G32" s="32">
        <f>SUM(G25:G31)</f>
        <v>270</v>
      </c>
      <c r="H32" s="21">
        <f>IFERROR(G32/D32,0)</f>
        <v>0.625</v>
      </c>
      <c r="I32" s="32">
        <f>SUM(I25:I31)</f>
        <v>14</v>
      </c>
      <c r="J32" s="32">
        <f>SUM(J25:J31)</f>
        <v>7</v>
      </c>
      <c r="K32" s="32">
        <f>SUM(K25:K31)</f>
        <v>11</v>
      </c>
      <c r="L32" s="32">
        <f t="shared" ref="L32" si="31">SUM(I32:K32)</f>
        <v>32</v>
      </c>
      <c r="M32" s="33">
        <f>IFERROR(SUM(I32:K32)/D32,0)</f>
        <v>7.407407407407407E-2</v>
      </c>
      <c r="N32" s="32">
        <f>SUM(N25:N31)</f>
        <v>130</v>
      </c>
      <c r="O32" s="33">
        <f>IFERROR(N32/D32,0)</f>
        <v>0.30092592592592593</v>
      </c>
      <c r="P32" s="79"/>
    </row>
    <row r="33" spans="2:16" x14ac:dyDescent="0.15">
      <c r="C33" s="81" t="s">
        <v>59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27"/>
    </row>
    <row r="34" spans="2:16" ht="16" x14ac:dyDescent="0.2">
      <c r="B34" s="8" t="s">
        <v>118</v>
      </c>
      <c r="C34" s="18" t="str">
        <f>IFERROR(VLOOKUP(B34,WORKSHEET!$O$4:$AM$60,8,FALSE),"")</f>
        <v>Honda Leander</v>
      </c>
      <c r="D34" s="19">
        <f>IF(C34="","",VLOOKUP(B34,WORKSHEET!$O$4:$AM$60,9,FALSE))</f>
        <v>0</v>
      </c>
      <c r="E34" s="20">
        <f>IF(C34="","",VLOOKUP(B34,WORKSHEET!$O$4:$AM$60,10,FALSE))</f>
        <v>0</v>
      </c>
      <c r="F34" s="29">
        <f t="shared" ref="F34:F39" si="32">IF(C34="","",IFERROR(E34/D34,0))</f>
        <v>0</v>
      </c>
      <c r="G34" s="19">
        <f>IF(C34="","",VLOOKUP(B34,WORKSHEET!$O$4:$AM$60,16,FALSE))</f>
        <v>0</v>
      </c>
      <c r="H34" s="21">
        <f t="shared" ref="H34:H39" si="33">IF(C34="","",IFERROR(G34/D34,0))</f>
        <v>0</v>
      </c>
      <c r="I34" s="20">
        <f>IF(C34="","",VLOOKUP(B34,WORKSHEET!$O$4:$AM$60,18,FALSE))</f>
        <v>0</v>
      </c>
      <c r="J34" s="19">
        <f>IF(C34="","",VLOOKUP(B34,WORKSHEET!$O$4:$AM$60,19,FALSE))</f>
        <v>0</v>
      </c>
      <c r="K34" s="19">
        <f>IF(C34="","",VLOOKUP(B34,WORKSHEET!$O$4:$AM$60,20,FALSE))</f>
        <v>0</v>
      </c>
      <c r="L34" s="19">
        <f t="shared" ref="L34:L39" si="34">IF(C34="","",SUM(I34:K34))</f>
        <v>0</v>
      </c>
      <c r="M34" s="22">
        <f t="shared" ref="M34:M39" si="35">IF(C34="","",IFERROR(SUM(I34:K34)/D34,0))</f>
        <v>0</v>
      </c>
      <c r="N34" s="23">
        <f>IF(C34="","",VLOOKUP(B34,WORKSHEET!$O$4:$AM$60,22,FALSE)+VLOOKUP(B34,WORKSHEET!$O$4:$AM$60,23,FALSE)+VLOOKUP(B34,WORKSHEET!$O$4:$AM$60,24,FALSE))</f>
        <v>0</v>
      </c>
      <c r="O34" s="22">
        <f t="shared" ref="O34:O39" si="36">IF(C34="","",IFERROR(N34/D34,0))</f>
        <v>0</v>
      </c>
      <c r="P34" s="79">
        <v>0.56000000000000005</v>
      </c>
    </row>
    <row r="35" spans="2:16" ht="16" x14ac:dyDescent="0.2">
      <c r="B35" s="8" t="s">
        <v>121</v>
      </c>
      <c r="C35" s="18" t="str">
        <f>IFERROR(VLOOKUP(B35,WORKSHEET!$O$4:$AM$60,8,FALSE),"")</f>
        <v>Round Rock Honda</v>
      </c>
      <c r="D35" s="19">
        <f>IF(C35="","",VLOOKUP(B35,WORKSHEET!$O$4:$AM$60,9,FALSE))</f>
        <v>26</v>
      </c>
      <c r="E35" s="20">
        <f>IF(C35="","",VLOOKUP(B35,WORKSHEET!$O$4:$AM$60,10,FALSE))</f>
        <v>14</v>
      </c>
      <c r="F35" s="29">
        <f t="shared" si="32"/>
        <v>0.53846153846153844</v>
      </c>
      <c r="G35" s="19">
        <f>IF(C35="","",VLOOKUP(B35,WORKSHEET!$O$4:$AM$60,16,FALSE))</f>
        <v>17</v>
      </c>
      <c r="H35" s="21">
        <f t="shared" si="33"/>
        <v>0.65384615384615385</v>
      </c>
      <c r="I35" s="20">
        <f>IF(C35="","",VLOOKUP(B35,WORKSHEET!$O$4:$AM$60,18,FALSE))</f>
        <v>0</v>
      </c>
      <c r="J35" s="19">
        <f>IF(C35="","",VLOOKUP(B35,WORKSHEET!$O$4:$AM$60,19,FALSE))</f>
        <v>0</v>
      </c>
      <c r="K35" s="19">
        <f>IF(C35="","",VLOOKUP(B35,WORKSHEET!$O$4:$AM$60,20,FALSE))</f>
        <v>0</v>
      </c>
      <c r="L35" s="19">
        <f t="shared" si="34"/>
        <v>0</v>
      </c>
      <c r="M35" s="22">
        <f t="shared" si="35"/>
        <v>0</v>
      </c>
      <c r="N35" s="23">
        <f>IF(C35="","",VLOOKUP(B35,WORKSHEET!$O$4:$AM$60,22,FALSE)+VLOOKUP(B35,WORKSHEET!$O$4:$AM$60,23,FALSE)+VLOOKUP(B35,WORKSHEET!$O$4:$AM$60,24,FALSE))</f>
        <v>9</v>
      </c>
      <c r="O35" s="22">
        <f t="shared" si="36"/>
        <v>0.34615384615384615</v>
      </c>
      <c r="P35" s="79"/>
    </row>
    <row r="36" spans="2:16" ht="16" x14ac:dyDescent="0.2">
      <c r="B36" s="8" t="s">
        <v>152</v>
      </c>
      <c r="C36" s="18" t="str">
        <f>IFERROR(VLOOKUP(B36,WORKSHEET!$O$4:$AM$60,8,FALSE),"")</f>
        <v>Tempe Honda</v>
      </c>
      <c r="D36" s="19">
        <f>IF(C36="","",VLOOKUP(B36,WORKSHEET!$O$4:$AM$60,9,FALSE))</f>
        <v>34</v>
      </c>
      <c r="E36" s="20">
        <f>IF(C36="","",VLOOKUP(B36,WORKSHEET!$O$4:$AM$60,10,FALSE))</f>
        <v>14</v>
      </c>
      <c r="F36" s="29">
        <f t="shared" si="32"/>
        <v>0.41176470588235292</v>
      </c>
      <c r="G36" s="19">
        <f>IF(C36="","",VLOOKUP(B36,WORKSHEET!$O$4:$AM$60,16,FALSE))</f>
        <v>25</v>
      </c>
      <c r="H36" s="21">
        <f t="shared" si="33"/>
        <v>0.73529411764705888</v>
      </c>
      <c r="I36" s="20">
        <f>IF(C36="","",VLOOKUP(B36,WORKSHEET!$O$4:$AM$60,18,FALSE))</f>
        <v>0</v>
      </c>
      <c r="J36" s="19">
        <f>IF(C36="","",VLOOKUP(B36,WORKSHEET!$O$4:$AM$60,19,FALSE))</f>
        <v>1</v>
      </c>
      <c r="K36" s="19">
        <f>IF(C36="","",VLOOKUP(B36,WORKSHEET!$O$4:$AM$60,20,FALSE))</f>
        <v>3</v>
      </c>
      <c r="L36" s="19">
        <f t="shared" si="34"/>
        <v>4</v>
      </c>
      <c r="M36" s="22">
        <f t="shared" si="35"/>
        <v>0.11764705882352941</v>
      </c>
      <c r="N36" s="23">
        <f>IF(C36="","",VLOOKUP(B36,WORKSHEET!$O$4:$AM$60,22,FALSE)+VLOOKUP(B36,WORKSHEET!$O$4:$AM$60,23,FALSE)+VLOOKUP(B36,WORKSHEET!$O$4:$AM$60,24,FALSE))</f>
        <v>5</v>
      </c>
      <c r="O36" s="22">
        <f t="shared" si="36"/>
        <v>0.14705882352941177</v>
      </c>
      <c r="P36" s="79"/>
    </row>
    <row r="37" spans="2:16" ht="16" x14ac:dyDescent="0.2">
      <c r="B37" s="8" t="s">
        <v>147</v>
      </c>
      <c r="C37" s="18" t="str">
        <f>IFERROR(VLOOKUP(B37,WORKSHEET!$O$4:$AM$60,8,FALSE),"")</f>
        <v>Honda of Escondido</v>
      </c>
      <c r="D37" s="19">
        <f>IF(C37="","",VLOOKUP(B37,WORKSHEET!$O$4:$AM$60,9,FALSE))</f>
        <v>15</v>
      </c>
      <c r="E37" s="20">
        <f>IF(C37="","",VLOOKUP(B37,WORKSHEET!$O$4:$AM$60,10,FALSE))</f>
        <v>6</v>
      </c>
      <c r="F37" s="29">
        <f t="shared" si="32"/>
        <v>0.4</v>
      </c>
      <c r="G37" s="19">
        <f>IF(C37="","",VLOOKUP(B37,WORKSHEET!$O$4:$AM$60,16,FALSE))</f>
        <v>10</v>
      </c>
      <c r="H37" s="21">
        <f t="shared" si="33"/>
        <v>0.66666666666666663</v>
      </c>
      <c r="I37" s="20">
        <f>IF(C37="","",VLOOKUP(B37,WORKSHEET!$O$4:$AM$60,18,FALSE))</f>
        <v>0</v>
      </c>
      <c r="J37" s="19">
        <f>IF(C37="","",VLOOKUP(B37,WORKSHEET!$O$4:$AM$60,19,FALSE))</f>
        <v>0</v>
      </c>
      <c r="K37" s="19">
        <f>IF(C37="","",VLOOKUP(B37,WORKSHEET!$O$4:$AM$60,20,FALSE))</f>
        <v>0</v>
      </c>
      <c r="L37" s="19">
        <f t="shared" si="34"/>
        <v>0</v>
      </c>
      <c r="M37" s="22">
        <f t="shared" si="35"/>
        <v>0</v>
      </c>
      <c r="N37" s="23">
        <f>IF(C37="","",VLOOKUP(B37,WORKSHEET!$O$4:$AM$60,22,FALSE)+VLOOKUP(B37,WORKSHEET!$O$4:$AM$60,23,FALSE)+VLOOKUP(B37,WORKSHEET!$O$4:$AM$60,24,FALSE))</f>
        <v>5</v>
      </c>
      <c r="O37" s="22">
        <f t="shared" si="36"/>
        <v>0.33333333333333331</v>
      </c>
      <c r="P37" s="79"/>
    </row>
    <row r="38" spans="2:16" ht="16" x14ac:dyDescent="0.2">
      <c r="B38" s="8" t="s">
        <v>133</v>
      </c>
      <c r="C38" s="18" t="str">
        <f>IFERROR(VLOOKUP(B38,WORKSHEET!$O$4:$AM$60,8,FALSE),"")</f>
        <v>Honda North</v>
      </c>
      <c r="D38" s="19">
        <f>IF(C38="","",VLOOKUP(B38,WORKSHEET!$O$4:$AM$60,9,FALSE))</f>
        <v>13</v>
      </c>
      <c r="E38" s="20">
        <f>IF(C38="","",VLOOKUP(B38,WORKSHEET!$O$4:$AM$60,10,FALSE))</f>
        <v>4</v>
      </c>
      <c r="F38" s="29">
        <f t="shared" ref="F38" si="37">IF(C38="","",IFERROR(E38/D38,0))</f>
        <v>0.30769230769230771</v>
      </c>
      <c r="G38" s="19">
        <f>IF(C38="","",VLOOKUP(B38,WORKSHEET!$O$4:$AM$60,16,FALSE))</f>
        <v>7</v>
      </c>
      <c r="H38" s="21">
        <f t="shared" ref="H38" si="38">IF(C38="","",IFERROR(G38/D38,0))</f>
        <v>0.53846153846153844</v>
      </c>
      <c r="I38" s="20">
        <f>IF(C38="","",VLOOKUP(B38,WORKSHEET!$O$4:$AM$60,18,FALSE))</f>
        <v>3</v>
      </c>
      <c r="J38" s="19">
        <f>IF(C38="","",VLOOKUP(B38,WORKSHEET!$O$4:$AM$60,19,FALSE))</f>
        <v>0</v>
      </c>
      <c r="K38" s="19">
        <f>IF(C38="","",VLOOKUP(B38,WORKSHEET!$O$4:$AM$60,20,FALSE))</f>
        <v>0</v>
      </c>
      <c r="L38" s="19">
        <f t="shared" ref="L38" si="39">IF(C38="","",SUM(I38:K38))</f>
        <v>3</v>
      </c>
      <c r="M38" s="22">
        <f t="shared" ref="M38" si="40">IF(C38="","",IFERROR(SUM(I38:K38)/D38,0))</f>
        <v>0.23076923076923078</v>
      </c>
      <c r="N38" s="23">
        <f>IF(C38="","",VLOOKUP(B38,WORKSHEET!$O$4:$AM$60,22,FALSE)+VLOOKUP(B38,WORKSHEET!$O$4:$AM$60,23,FALSE)+VLOOKUP(B38,WORKSHEET!$O$4:$AM$60,24,FALSE))</f>
        <v>3</v>
      </c>
      <c r="O38" s="22">
        <f t="shared" ref="O38" si="41">IF(C38="","",IFERROR(N38/D38,0))</f>
        <v>0.23076923076923078</v>
      </c>
      <c r="P38" s="79"/>
    </row>
    <row r="39" spans="2:16" ht="16" x14ac:dyDescent="0.2">
      <c r="B39" s="8" t="s">
        <v>259</v>
      </c>
      <c r="C39" s="18" t="str">
        <f>IFERROR(VLOOKUP(B39,WORKSHEET!$O$4:$AM$60,8,FALSE),"")</f>
        <v>Capitol Honda</v>
      </c>
      <c r="D39" s="19">
        <f>IF(C39="","",VLOOKUP(B39,WORKSHEET!$O$4:$AM$60,9,FALSE))</f>
        <v>14</v>
      </c>
      <c r="E39" s="20">
        <f>IF(C39="","",VLOOKUP(B39,WORKSHEET!$O$4:$AM$60,10,FALSE))</f>
        <v>3</v>
      </c>
      <c r="F39" s="29">
        <f t="shared" si="32"/>
        <v>0.21428571428571427</v>
      </c>
      <c r="G39" s="19">
        <f>IF(C39="","",VLOOKUP(B39,WORKSHEET!$O$4:$AM$60,16,FALSE))</f>
        <v>11</v>
      </c>
      <c r="H39" s="21">
        <f t="shared" si="33"/>
        <v>0.7857142857142857</v>
      </c>
      <c r="I39" s="20">
        <f>IF(C39="","",VLOOKUP(B39,WORKSHEET!$O$4:$AM$60,18,FALSE))</f>
        <v>3</v>
      </c>
      <c r="J39" s="19">
        <f>IF(C39="","",VLOOKUP(B39,WORKSHEET!$O$4:$AM$60,19,FALSE))</f>
        <v>0</v>
      </c>
      <c r="K39" s="19">
        <f>IF(C39="","",VLOOKUP(B39,WORKSHEET!$O$4:$AM$60,20,FALSE))</f>
        <v>0</v>
      </c>
      <c r="L39" s="19">
        <f t="shared" si="34"/>
        <v>3</v>
      </c>
      <c r="M39" s="22">
        <f t="shared" si="35"/>
        <v>0.21428571428571427</v>
      </c>
      <c r="N39" s="23">
        <f>IF(C39="","",VLOOKUP(B39,WORKSHEET!$O$4:$AM$60,22,FALSE)+VLOOKUP(B39,WORKSHEET!$O$4:$AM$60,23,FALSE)+VLOOKUP(B39,WORKSHEET!$O$4:$AM$60,24,FALSE))</f>
        <v>0</v>
      </c>
      <c r="O39" s="22">
        <f t="shared" si="36"/>
        <v>0</v>
      </c>
      <c r="P39" s="79"/>
    </row>
    <row r="40" spans="2:16" s="8" customFormat="1" ht="16" x14ac:dyDescent="0.2">
      <c r="C40" s="30" t="s">
        <v>71</v>
      </c>
      <c r="D40" s="31">
        <f>SUM(D34:D39)</f>
        <v>102</v>
      </c>
      <c r="E40" s="32">
        <f>SUM(E34:E39)</f>
        <v>41</v>
      </c>
      <c r="F40" s="29">
        <f>IFERROR(E40/D40,0)</f>
        <v>0.40196078431372551</v>
      </c>
      <c r="G40" s="32">
        <f>SUM(G34:G39)</f>
        <v>70</v>
      </c>
      <c r="H40" s="21">
        <f>IFERROR(G40/D40,0)</f>
        <v>0.68627450980392157</v>
      </c>
      <c r="I40" s="32">
        <f>SUM(I34:I39)</f>
        <v>6</v>
      </c>
      <c r="J40" s="32">
        <f>SUM(J34:J39)</f>
        <v>1</v>
      </c>
      <c r="K40" s="32">
        <f>SUM(K34:K39)</f>
        <v>3</v>
      </c>
      <c r="L40" s="32">
        <f t="shared" ref="L40" si="42">SUM(I40:K40)</f>
        <v>10</v>
      </c>
      <c r="M40" s="33">
        <f>IFERROR(SUM(I40:K40)/D40,0)</f>
        <v>9.8039215686274508E-2</v>
      </c>
      <c r="N40" s="32">
        <f>SUM(N34:N39)</f>
        <v>22</v>
      </c>
      <c r="O40" s="33">
        <f>IFERROR(N40/D40,0)</f>
        <v>0.21568627450980393</v>
      </c>
      <c r="P40" s="79"/>
    </row>
    <row r="41" spans="2:16" hidden="1" x14ac:dyDescent="0.15">
      <c r="C41" s="81" t="s">
        <v>265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27"/>
    </row>
    <row r="42" spans="2:16" ht="16" hidden="1" x14ac:dyDescent="0.2">
      <c r="B42" s="8" t="s">
        <v>266</v>
      </c>
      <c r="C42" s="18" t="str">
        <f>IFERROR(VLOOKUP(B42,WORKSHEET!$O$4:$AM$60,8,FALSE),"")</f>
        <v>Genesis of Round Rock</v>
      </c>
      <c r="D42" s="19">
        <f>IF(C42="","",VLOOKUP(B42,WORKSHEET!$O$4:$AM$60,9,FALSE))</f>
        <v>0</v>
      </c>
      <c r="E42" s="20">
        <f>IF(C42="","",VLOOKUP(B42,WORKSHEET!$O$4:$AM$60,10,FALSE))</f>
        <v>0</v>
      </c>
      <c r="F42" s="29">
        <f>IF(C42="","",IFERROR(E42/D42,0))</f>
        <v>0</v>
      </c>
      <c r="G42" s="19">
        <f>IF(C42="","",VLOOKUP(B42,WORKSHEET!$O$4:$AM$60,16,FALSE))</f>
        <v>0</v>
      </c>
      <c r="H42" s="21">
        <f>IF(C42="","",IFERROR(G42/D42,0))</f>
        <v>0</v>
      </c>
      <c r="I42" s="20">
        <f>IF(C42="","",VLOOKUP(B42,WORKSHEET!$O$4:$AM$60,18,FALSE))</f>
        <v>0</v>
      </c>
      <c r="J42" s="19">
        <f>IF(C42="","",VLOOKUP(B42,WORKSHEET!$O$4:$AM$60,19,FALSE))</f>
        <v>0</v>
      </c>
      <c r="K42" s="19">
        <f>IF(C42="","",VLOOKUP(B42,WORKSHEET!$O$4:$AM$60,20,FALSE))</f>
        <v>0</v>
      </c>
      <c r="L42" s="19">
        <f>IF(C42="","",SUM(I42:K42))</f>
        <v>0</v>
      </c>
      <c r="M42" s="22">
        <f>IF(C42="","",IFERROR(SUM(I42:K42)/D42,0))</f>
        <v>0</v>
      </c>
      <c r="N42" s="23">
        <f>IF(C42="","",VLOOKUP(B42,WORKSHEET!$O$4:$AM$60,22,FALSE)+VLOOKUP(B42,WORKSHEET!$O$4:$AM$60,23,FALSE)+VLOOKUP(B42,WORKSHEET!$O$4:$AM$60,24,FALSE))</f>
        <v>0</v>
      </c>
      <c r="O42" s="22">
        <f>IF(C42="","",IFERROR(N42/D42,0))</f>
        <v>0</v>
      </c>
      <c r="P42" s="79">
        <v>0.45</v>
      </c>
    </row>
    <row r="43" spans="2:16" s="8" customFormat="1" ht="16" hidden="1" x14ac:dyDescent="0.2">
      <c r="C43" s="30" t="s">
        <v>71</v>
      </c>
      <c r="D43" s="31">
        <f>SUM(D42)</f>
        <v>0</v>
      </c>
      <c r="E43" s="32">
        <f>SUM(E42)</f>
        <v>0</v>
      </c>
      <c r="F43" s="29">
        <f>IFERROR(E43/D43,0)</f>
        <v>0</v>
      </c>
      <c r="G43" s="32">
        <f>SUM(G42)</f>
        <v>0</v>
      </c>
      <c r="H43" s="21">
        <f>IFERROR(G43/D43,0)</f>
        <v>0</v>
      </c>
      <c r="I43" s="32">
        <f t="shared" ref="I43:K43" si="43">SUM(I42)</f>
        <v>0</v>
      </c>
      <c r="J43" s="32">
        <f t="shared" si="43"/>
        <v>0</v>
      </c>
      <c r="K43" s="32">
        <f t="shared" si="43"/>
        <v>0</v>
      </c>
      <c r="L43" s="32">
        <f t="shared" ref="L43" si="44">SUM(I43:K43)</f>
        <v>0</v>
      </c>
      <c r="M43" s="33">
        <f>IFERROR(SUM(I43:K43)/D43,0)</f>
        <v>0</v>
      </c>
      <c r="N43" s="32">
        <f>SUM(N42)</f>
        <v>0</v>
      </c>
      <c r="O43" s="33">
        <f>IFERROR(N43/D43,0)</f>
        <v>0</v>
      </c>
      <c r="P43" s="79"/>
    </row>
    <row r="44" spans="2:16" x14ac:dyDescent="0.15">
      <c r="C44" s="81" t="s">
        <v>60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27"/>
    </row>
    <row r="45" spans="2:16" ht="16" x14ac:dyDescent="0.2">
      <c r="B45" s="8" t="s">
        <v>148</v>
      </c>
      <c r="C45" s="18" t="str">
        <f>IFERROR(VLOOKUP(B45,WORKSHEET!$O$4:$AM$60,8,FALSE),"")</f>
        <v>Hyundai of Pharr</v>
      </c>
      <c r="D45" s="19">
        <f>IF(C45="","",VLOOKUP(B45,WORKSHEET!$O$4:$AM$60,9,FALSE))</f>
        <v>4</v>
      </c>
      <c r="E45" s="20">
        <f>IF(C45="","",VLOOKUP(B45,WORKSHEET!$O$4:$AM$60,10,FALSE))</f>
        <v>1</v>
      </c>
      <c r="F45" s="29">
        <f t="shared" ref="F45:F46" si="45">IF(C45="","",IFERROR(E45/D45,0))</f>
        <v>0.25</v>
      </c>
      <c r="G45" s="19">
        <f>IF(C45="","",VLOOKUP(B45,WORKSHEET!$O$4:$AM$60,16,FALSE))</f>
        <v>1</v>
      </c>
      <c r="H45" s="21">
        <f t="shared" ref="H45:H46" si="46">IF(C45="","",IFERROR(G45/D45,0))</f>
        <v>0.25</v>
      </c>
      <c r="I45" s="20">
        <f>IF(C45="","",VLOOKUP(B45,WORKSHEET!$O$4:$AM$60,18,FALSE))</f>
        <v>3</v>
      </c>
      <c r="J45" s="19">
        <f>IF(C45="","",VLOOKUP(B45,WORKSHEET!$O$4:$AM$60,19,FALSE))</f>
        <v>0</v>
      </c>
      <c r="K45" s="19">
        <f>IF(C45="","",VLOOKUP(B45,WORKSHEET!$O$4:$AM$60,20,FALSE))</f>
        <v>0</v>
      </c>
      <c r="L45" s="19">
        <f t="shared" ref="L45:L46" si="47">IF(C45="","",SUM(I45:K45))</f>
        <v>3</v>
      </c>
      <c r="M45" s="22">
        <f t="shared" ref="M45:M46" si="48">IF(C45="","",IFERROR(SUM(I45:K45)/D45,0))</f>
        <v>0.75</v>
      </c>
      <c r="N45" s="23">
        <f>IF(C45="","",VLOOKUP(B45,WORKSHEET!$O$4:$AM$60,22,FALSE)+VLOOKUP(B45,WORKSHEET!$O$4:$AM$60,23,FALSE)+VLOOKUP(B45,WORKSHEET!$O$4:$AM$60,24,FALSE))</f>
        <v>0</v>
      </c>
      <c r="O45" s="22">
        <f t="shared" ref="O45:O46" si="49">IF(C45="","",IFERROR(N45/D45,0))</f>
        <v>0</v>
      </c>
      <c r="P45" s="79">
        <v>0.52</v>
      </c>
    </row>
    <row r="46" spans="2:16" ht="16" x14ac:dyDescent="0.2">
      <c r="B46" s="8" t="s">
        <v>122</v>
      </c>
      <c r="C46" s="18" t="str">
        <f>IFERROR(VLOOKUP(B46,WORKSHEET!$O$4:$AM$60,8,FALSE),"")</f>
        <v>Round Rock Hyundai</v>
      </c>
      <c r="D46" s="19">
        <f>IF(C46="","",VLOOKUP(B46,WORKSHEET!$O$4:$AM$60,9,FALSE))</f>
        <v>10</v>
      </c>
      <c r="E46" s="20">
        <f>IF(C46="","",VLOOKUP(B46,WORKSHEET!$O$4:$AM$60,10,FALSE))</f>
        <v>0</v>
      </c>
      <c r="F46" s="29">
        <f t="shared" si="45"/>
        <v>0</v>
      </c>
      <c r="G46" s="19">
        <f>IF(C46="","",VLOOKUP(B46,WORKSHEET!$O$4:$AM$60,16,FALSE))</f>
        <v>4</v>
      </c>
      <c r="H46" s="21">
        <f t="shared" si="46"/>
        <v>0.4</v>
      </c>
      <c r="I46" s="20">
        <f>IF(C46="","",VLOOKUP(B46,WORKSHEET!$O$4:$AM$60,18,FALSE))</f>
        <v>0</v>
      </c>
      <c r="J46" s="19">
        <f>IF(C46="","",VLOOKUP(B46,WORKSHEET!$O$4:$AM$60,19,FALSE))</f>
        <v>0</v>
      </c>
      <c r="K46" s="19">
        <f>IF(C46="","",VLOOKUP(B46,WORKSHEET!$O$4:$AM$60,20,FALSE))</f>
        <v>0</v>
      </c>
      <c r="L46" s="19">
        <f t="shared" si="47"/>
        <v>0</v>
      </c>
      <c r="M46" s="22">
        <f t="shared" si="48"/>
        <v>0</v>
      </c>
      <c r="N46" s="23">
        <f>IF(C46="","",VLOOKUP(B46,WORKSHEET!$O$4:$AM$60,22,FALSE)+VLOOKUP(B46,WORKSHEET!$O$4:$AM$60,23,FALSE)+VLOOKUP(B46,WORKSHEET!$O$4:$AM$60,24,FALSE))</f>
        <v>6</v>
      </c>
      <c r="O46" s="22">
        <f t="shared" si="49"/>
        <v>0.6</v>
      </c>
      <c r="P46" s="79"/>
    </row>
    <row r="47" spans="2:16" s="8" customFormat="1" ht="16" x14ac:dyDescent="0.2">
      <c r="C47" s="30" t="s">
        <v>71</v>
      </c>
      <c r="D47" s="31">
        <f>SUM(D45:D46)</f>
        <v>14</v>
      </c>
      <c r="E47" s="32">
        <f>SUM(E45:E46)</f>
        <v>1</v>
      </c>
      <c r="F47" s="29">
        <f>IFERROR(E47/D47,0)</f>
        <v>7.1428571428571425E-2</v>
      </c>
      <c r="G47" s="32">
        <f>SUM(G45:G46)</f>
        <v>5</v>
      </c>
      <c r="H47" s="21">
        <f>IFERROR(G47/D47,0)</f>
        <v>0.35714285714285715</v>
      </c>
      <c r="I47" s="32">
        <f t="shared" ref="I47:K47" si="50">SUM(I45:I46)</f>
        <v>3</v>
      </c>
      <c r="J47" s="32">
        <f t="shared" si="50"/>
        <v>0</v>
      </c>
      <c r="K47" s="32">
        <f t="shared" si="50"/>
        <v>0</v>
      </c>
      <c r="L47" s="32">
        <f t="shared" ref="L47" si="51">SUM(I47:K47)</f>
        <v>3</v>
      </c>
      <c r="M47" s="33">
        <f>IFERROR(SUM(I47:K47)/D47,0)</f>
        <v>0.21428571428571427</v>
      </c>
      <c r="N47" s="32">
        <f>SUM(N45:N46)</f>
        <v>6</v>
      </c>
      <c r="O47" s="33">
        <f>IFERROR(N47/D47,0)</f>
        <v>0.42857142857142855</v>
      </c>
      <c r="P47" s="79"/>
    </row>
    <row r="48" spans="2:16" x14ac:dyDescent="0.15">
      <c r="C48" s="81" t="s">
        <v>284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27"/>
    </row>
    <row r="49" spans="2:16" ht="16" x14ac:dyDescent="0.2">
      <c r="B49" s="8" t="s">
        <v>285</v>
      </c>
      <c r="C49" s="18" t="s">
        <v>278</v>
      </c>
      <c r="D49" s="19">
        <f>IF(C49="","",VLOOKUP(B49,WORKSHEET!$O$4:$AM$60,9,FALSE))</f>
        <v>1</v>
      </c>
      <c r="E49" s="20">
        <f>IF(C49="","",VLOOKUP(B49,WORKSHEET!$O$4:$AM$60,10,FALSE))</f>
        <v>0</v>
      </c>
      <c r="F49" s="29">
        <f>IF(C49="","",IFERROR(E49/D49,0))</f>
        <v>0</v>
      </c>
      <c r="G49" s="19">
        <f>IF(C49="","",VLOOKUP(B49,WORKSHEET!$O$4:$AM$60,16,FALSE))</f>
        <v>0</v>
      </c>
      <c r="H49" s="21">
        <f>IF(C49="","",IFERROR(G49/D49,0))</f>
        <v>0</v>
      </c>
      <c r="I49" s="20">
        <f>IF(C49="","",VLOOKUP(B49,WORKSHEET!$O$4:$AM$60,18,FALSE))</f>
        <v>0</v>
      </c>
      <c r="J49" s="19">
        <f>IF(C49="","",VLOOKUP(B49,WORKSHEET!$O$4:$AM$60,19,FALSE))</f>
        <v>0</v>
      </c>
      <c r="K49" s="19">
        <f>IF(C49="","",VLOOKUP(B49,WORKSHEET!$O$4:$AM$60,20,FALSE))</f>
        <v>1</v>
      </c>
      <c r="L49" s="19">
        <f>IF(C49="","",SUM(I49:K49))</f>
        <v>1</v>
      </c>
      <c r="M49" s="22">
        <f>IF(C49="","",IFERROR(SUM(I49:K49)/D49,0))</f>
        <v>1</v>
      </c>
      <c r="N49" s="23">
        <f>IF(C49="","",VLOOKUP(B49,WORKSHEET!$O$4:$AM$60,22,FALSE)+VLOOKUP(B49,WORKSHEET!$O$4:$AM$60,23,FALSE)+VLOOKUP(B49,WORKSHEET!$O$4:$AM$60,24,FALSE))</f>
        <v>0</v>
      </c>
      <c r="O49" s="22">
        <f>IF(C49="","",IFERROR(N49/D49,0))</f>
        <v>0</v>
      </c>
      <c r="P49" s="79">
        <v>0.45</v>
      </c>
    </row>
    <row r="50" spans="2:16" s="8" customFormat="1" ht="16" x14ac:dyDescent="0.2">
      <c r="C50" s="30" t="s">
        <v>71</v>
      </c>
      <c r="D50" s="31">
        <f>SUM(D49)</f>
        <v>1</v>
      </c>
      <c r="E50" s="32">
        <f>SUM(E49)</f>
        <v>0</v>
      </c>
      <c r="F50" s="29">
        <f>IFERROR(E50/D50,0)</f>
        <v>0</v>
      </c>
      <c r="G50" s="32">
        <f>SUM(G49)</f>
        <v>0</v>
      </c>
      <c r="H50" s="21">
        <f>IFERROR(G50/D50,0)</f>
        <v>0</v>
      </c>
      <c r="I50" s="32">
        <f t="shared" ref="I50:K50" si="52">SUM(I49)</f>
        <v>0</v>
      </c>
      <c r="J50" s="32">
        <f t="shared" si="52"/>
        <v>0</v>
      </c>
      <c r="K50" s="32">
        <f t="shared" si="52"/>
        <v>1</v>
      </c>
      <c r="L50" s="32">
        <f t="shared" ref="L50" si="53">SUM(I50:K50)</f>
        <v>1</v>
      </c>
      <c r="M50" s="33">
        <f>IFERROR(SUM(I50:K50)/D50,0)</f>
        <v>1</v>
      </c>
      <c r="N50" s="32">
        <f>SUM(N49)</f>
        <v>0</v>
      </c>
      <c r="O50" s="33">
        <f>IFERROR(N50/D50,0)</f>
        <v>0</v>
      </c>
      <c r="P50" s="79"/>
    </row>
    <row r="51" spans="2:16" x14ac:dyDescent="0.15">
      <c r="C51" s="81" t="s">
        <v>271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27"/>
    </row>
    <row r="52" spans="2:16" ht="16" x14ac:dyDescent="0.2">
      <c r="B52" s="8" t="s">
        <v>124</v>
      </c>
      <c r="C52" s="18" t="str">
        <f>IFERROR(VLOOKUP(B52,WORKSHEET!$O$4:$AM$60,8,FALSE),"")</f>
        <v>Land Rover North Scottsdale</v>
      </c>
      <c r="D52" s="19">
        <f>IF(C52="","",VLOOKUP(B52,WORKSHEET!$O$4:$AM$60,9,FALSE))</f>
        <v>1</v>
      </c>
      <c r="E52" s="20">
        <f>IF(C52="","",VLOOKUP(B52,WORKSHEET!$O$4:$AM$60,10,FALSE))</f>
        <v>1</v>
      </c>
      <c r="F52" s="29">
        <f t="shared" ref="F52:F53" si="54">IF(C52="","",IFERROR(E52/D52,0))</f>
        <v>1</v>
      </c>
      <c r="G52" s="19">
        <f>IF(C52="","",VLOOKUP(B52,WORKSHEET!$O$4:$AM$60,16,FALSE))</f>
        <v>1</v>
      </c>
      <c r="H52" s="21">
        <f t="shared" ref="H52:H53" si="55">IF(C52="","",IFERROR(G52/D52,0))</f>
        <v>1</v>
      </c>
      <c r="I52" s="20">
        <f>IF(C52="","",VLOOKUP(B52,WORKSHEET!$O$4:$AM$60,18,FALSE))</f>
        <v>0</v>
      </c>
      <c r="J52" s="19">
        <f>IF(C52="","",VLOOKUP(B52,WORKSHEET!$O$4:$AM$60,19,FALSE))</f>
        <v>0</v>
      </c>
      <c r="K52" s="19">
        <f>IF(C52="","",VLOOKUP(B52,WORKSHEET!$O$4:$AM$60,20,FALSE))</f>
        <v>0</v>
      </c>
      <c r="L52" s="19">
        <f t="shared" ref="L52:L53" si="56">IF(C52="","",SUM(I52:K52))</f>
        <v>0</v>
      </c>
      <c r="M52" s="22">
        <f t="shared" ref="M52:M53" si="57">IF(C52="","",IFERROR(SUM(I52:K52)/D52,0))</f>
        <v>0</v>
      </c>
      <c r="N52" s="23">
        <f>IF(C52="","",VLOOKUP(B52,WORKSHEET!$O$4:$AM$60,22,FALSE)+VLOOKUP(B52,WORKSHEET!$O$4:$AM$60,23,FALSE)+VLOOKUP(B52,WORKSHEET!$O$4:$AM$60,24,FALSE))</f>
        <v>0</v>
      </c>
      <c r="O52" s="22">
        <f t="shared" ref="O52:O53" si="58">IF(C52="","",IFERROR(N52/D52,0))</f>
        <v>0</v>
      </c>
      <c r="P52" s="79">
        <v>0.52</v>
      </c>
    </row>
    <row r="53" spans="2:16" ht="16" x14ac:dyDescent="0.2">
      <c r="B53" s="8" t="s">
        <v>123</v>
      </c>
      <c r="C53" s="18" t="str">
        <f>IFERROR(VLOOKUP(B53,WORKSHEET!$O$4:$AM$60,8,FALSE),"")</f>
        <v>Land Rover Chandler</v>
      </c>
      <c r="D53" s="19">
        <f>IF(C53="","",VLOOKUP(B53,WORKSHEET!$O$4:$AM$60,9,FALSE))</f>
        <v>4</v>
      </c>
      <c r="E53" s="20">
        <f>IF(C53="","",VLOOKUP(B53,WORKSHEET!$O$4:$AM$60,10,FALSE))</f>
        <v>0</v>
      </c>
      <c r="F53" s="29">
        <f t="shared" si="54"/>
        <v>0</v>
      </c>
      <c r="G53" s="19">
        <f>IF(C53="","",VLOOKUP(B53,WORKSHEET!$O$4:$AM$60,16,FALSE))</f>
        <v>2</v>
      </c>
      <c r="H53" s="21">
        <f t="shared" si="55"/>
        <v>0.5</v>
      </c>
      <c r="I53" s="20">
        <f>IF(C53="","",VLOOKUP(B53,WORKSHEET!$O$4:$AM$60,18,FALSE))</f>
        <v>0</v>
      </c>
      <c r="J53" s="19">
        <f>IF(C53="","",VLOOKUP(B53,WORKSHEET!$O$4:$AM$60,19,FALSE))</f>
        <v>0</v>
      </c>
      <c r="K53" s="19">
        <f>IF(C53="","",VLOOKUP(B53,WORKSHEET!$O$4:$AM$60,20,FALSE))</f>
        <v>0</v>
      </c>
      <c r="L53" s="19">
        <f t="shared" si="56"/>
        <v>0</v>
      </c>
      <c r="M53" s="22">
        <f t="shared" si="57"/>
        <v>0</v>
      </c>
      <c r="N53" s="23">
        <f>IF(C53="","",VLOOKUP(B53,WORKSHEET!$O$4:$AM$60,22,FALSE)+VLOOKUP(B53,WORKSHEET!$O$4:$AM$60,23,FALSE)+VLOOKUP(B53,WORKSHEET!$O$4:$AM$60,24,FALSE))</f>
        <v>2</v>
      </c>
      <c r="O53" s="22">
        <f t="shared" si="58"/>
        <v>0.5</v>
      </c>
      <c r="P53" s="79"/>
    </row>
    <row r="54" spans="2:16" s="8" customFormat="1" ht="16" x14ac:dyDescent="0.2">
      <c r="C54" s="30" t="s">
        <v>71</v>
      </c>
      <c r="D54" s="31">
        <f>SUM(D52:D53)</f>
        <v>5</v>
      </c>
      <c r="E54" s="32">
        <f>SUM(E52:E53)</f>
        <v>1</v>
      </c>
      <c r="F54" s="29">
        <f>IFERROR(E54/D54,0)</f>
        <v>0.2</v>
      </c>
      <c r="G54" s="32">
        <f>SUM(G52:G53)</f>
        <v>3</v>
      </c>
      <c r="H54" s="21">
        <f>IFERROR(G54/D54,0)</f>
        <v>0.6</v>
      </c>
      <c r="I54" s="32">
        <f t="shared" ref="I54" si="59">SUM(I52:I53)</f>
        <v>0</v>
      </c>
      <c r="J54" s="32">
        <f t="shared" ref="J54" si="60">SUM(J52:J53)</f>
        <v>0</v>
      </c>
      <c r="K54" s="32">
        <f t="shared" ref="K54" si="61">SUM(K52:K53)</f>
        <v>0</v>
      </c>
      <c r="L54" s="32">
        <f t="shared" ref="L54" si="62">SUM(I54:K54)</f>
        <v>0</v>
      </c>
      <c r="M54" s="33">
        <f>IFERROR(SUM(I54:K54)/D54,0)</f>
        <v>0</v>
      </c>
      <c r="N54" s="32">
        <f>SUM(N52:N53)</f>
        <v>2</v>
      </c>
      <c r="O54" s="33">
        <f>IFERROR(N54/D54,0)</f>
        <v>0.4</v>
      </c>
      <c r="P54" s="79"/>
    </row>
    <row r="55" spans="2:16" x14ac:dyDescent="0.15">
      <c r="C55" s="81" t="s">
        <v>61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27"/>
    </row>
    <row r="56" spans="2:16" ht="16" x14ac:dyDescent="0.2">
      <c r="B56" s="8" t="s">
        <v>128</v>
      </c>
      <c r="C56" s="18" t="str">
        <f>IFERROR(VLOOKUP(B56,WORKSHEET!$O$4:$AM$60,8,FALSE),"")</f>
        <v>Lexus of Austin</v>
      </c>
      <c r="D56" s="19">
        <f>IF(C56="","",VLOOKUP(B56,WORKSHEET!$O$4:$AM$60,9,FALSE))</f>
        <v>14</v>
      </c>
      <c r="E56" s="20">
        <f>IF(C56="","",VLOOKUP(B56,WORKSHEET!$O$4:$AM$60,10,FALSE))</f>
        <v>11</v>
      </c>
      <c r="F56" s="29">
        <f t="shared" ref="F56:F59" si="63">IF(C56="","",IFERROR(E56/D56,0))</f>
        <v>0.7857142857142857</v>
      </c>
      <c r="G56" s="19">
        <f>IF(C56="","",VLOOKUP(B56,WORKSHEET!$O$4:$AM$60,16,FALSE))</f>
        <v>12</v>
      </c>
      <c r="H56" s="21">
        <f t="shared" ref="H56:H59" si="64">IF(C56="","",IFERROR(G56/D56,0))</f>
        <v>0.8571428571428571</v>
      </c>
      <c r="I56" s="20">
        <f>IF(C56="","",VLOOKUP(B56,WORKSHEET!$O$4:$AM$60,18,FALSE))</f>
        <v>0</v>
      </c>
      <c r="J56" s="19">
        <f>IF(C56="","",VLOOKUP(B56,WORKSHEET!$O$4:$AM$60,19,FALSE))</f>
        <v>0</v>
      </c>
      <c r="K56" s="19">
        <f>IF(C56="","",VLOOKUP(B56,WORKSHEET!$O$4:$AM$60,20,FALSE))</f>
        <v>0</v>
      </c>
      <c r="L56" s="19">
        <f t="shared" ref="L56:L59" si="65">IF(C56="","",SUM(I56:K56))</f>
        <v>0</v>
      </c>
      <c r="M56" s="22">
        <f t="shared" ref="M56:M59" si="66">IF(C56="","",IFERROR(SUM(I56:K56)/D56,0))</f>
        <v>0</v>
      </c>
      <c r="N56" s="23">
        <f>IF(C56="","",VLOOKUP(B56,WORKSHEET!$O$4:$AM$60,22,FALSE)+VLOOKUP(B56,WORKSHEET!$O$4:$AM$60,23,FALSE)+VLOOKUP(B56,WORKSHEET!$O$4:$AM$60,24,FALSE))</f>
        <v>2</v>
      </c>
      <c r="O56" s="22">
        <f t="shared" ref="O56:O59" si="67">IF(C56="","",IFERROR(N56/D56,0))</f>
        <v>0.14285714285714285</v>
      </c>
      <c r="P56" s="79">
        <v>0.53</v>
      </c>
    </row>
    <row r="57" spans="2:16" ht="16" x14ac:dyDescent="0.2">
      <c r="B57" s="8" t="s">
        <v>129</v>
      </c>
      <c r="C57" s="18" t="str">
        <f>IFERROR(VLOOKUP(B57,WORKSHEET!$O$4:$AM$60,8,FALSE),"")</f>
        <v>Lexus of Lakeway</v>
      </c>
      <c r="D57" s="19">
        <f>IF(C57="","",VLOOKUP(B57,WORKSHEET!$O$4:$AM$60,9,FALSE))</f>
        <v>11</v>
      </c>
      <c r="E57" s="20">
        <f>IF(C57="","",VLOOKUP(B57,WORKSHEET!$O$4:$AM$60,10,FALSE))</f>
        <v>7</v>
      </c>
      <c r="F57" s="29">
        <f t="shared" si="63"/>
        <v>0.63636363636363635</v>
      </c>
      <c r="G57" s="19">
        <f>IF(C57="","",VLOOKUP(B57,WORKSHEET!$O$4:$AM$60,16,FALSE))</f>
        <v>10</v>
      </c>
      <c r="H57" s="21">
        <f t="shared" si="64"/>
        <v>0.90909090909090906</v>
      </c>
      <c r="I57" s="20">
        <f>IF(C57="","",VLOOKUP(B57,WORKSHEET!$O$4:$AM$60,18,FALSE))</f>
        <v>0</v>
      </c>
      <c r="J57" s="19">
        <f>IF(C57="","",VLOOKUP(B57,WORKSHEET!$O$4:$AM$60,19,FALSE))</f>
        <v>0</v>
      </c>
      <c r="K57" s="19">
        <f>IF(C57="","",VLOOKUP(B57,WORKSHEET!$O$4:$AM$60,20,FALSE))</f>
        <v>0</v>
      </c>
      <c r="L57" s="19">
        <f t="shared" si="65"/>
        <v>0</v>
      </c>
      <c r="M57" s="22">
        <f t="shared" si="66"/>
        <v>0</v>
      </c>
      <c r="N57" s="23">
        <f>IF(C57="","",VLOOKUP(B57,WORKSHEET!$O$4:$AM$60,22,FALSE)+VLOOKUP(B57,WORKSHEET!$O$4:$AM$60,23,FALSE)+VLOOKUP(B57,WORKSHEET!$O$4:$AM$60,24,FALSE))</f>
        <v>1</v>
      </c>
      <c r="O57" s="22">
        <f t="shared" si="67"/>
        <v>9.0909090909090912E-2</v>
      </c>
      <c r="P57" s="79"/>
    </row>
    <row r="58" spans="2:16" ht="16" x14ac:dyDescent="0.2">
      <c r="B58" s="8" t="s">
        <v>130</v>
      </c>
      <c r="C58" s="18" t="str">
        <f>IFERROR(VLOOKUP(B58,WORKSHEET!$O$4:$AM$60,8,FALSE),"")</f>
        <v>Lexus San Diego</v>
      </c>
      <c r="D58" s="19">
        <f>IF(C58="","",VLOOKUP(B58,WORKSHEET!$O$4:$AM$60,9,FALSE))</f>
        <v>31</v>
      </c>
      <c r="E58" s="20">
        <f>IF(C58="","",VLOOKUP(B58,WORKSHEET!$O$4:$AM$60,10,FALSE))</f>
        <v>13</v>
      </c>
      <c r="F58" s="29">
        <f t="shared" si="63"/>
        <v>0.41935483870967744</v>
      </c>
      <c r="G58" s="19">
        <f>IF(C58="","",VLOOKUP(B58,WORKSHEET!$O$4:$AM$60,16,FALSE))</f>
        <v>23</v>
      </c>
      <c r="H58" s="21">
        <f t="shared" si="64"/>
        <v>0.74193548387096775</v>
      </c>
      <c r="I58" s="20">
        <f>IF(C58="","",VLOOKUP(B58,WORKSHEET!$O$4:$AM$60,18,FALSE))</f>
        <v>8</v>
      </c>
      <c r="J58" s="19">
        <f>IF(C58="","",VLOOKUP(B58,WORKSHEET!$O$4:$AM$60,19,FALSE))</f>
        <v>0</v>
      </c>
      <c r="K58" s="19">
        <f>IF(C58="","",VLOOKUP(B58,WORKSHEET!$O$4:$AM$60,20,FALSE))</f>
        <v>0</v>
      </c>
      <c r="L58" s="19">
        <f t="shared" si="65"/>
        <v>8</v>
      </c>
      <c r="M58" s="22">
        <f t="shared" si="66"/>
        <v>0.25806451612903225</v>
      </c>
      <c r="N58" s="23">
        <f>IF(C58="","",VLOOKUP(B58,WORKSHEET!$O$4:$AM$60,22,FALSE)+VLOOKUP(B58,WORKSHEET!$O$4:$AM$60,23,FALSE)+VLOOKUP(B58,WORKSHEET!$O$4:$AM$60,24,FALSE))</f>
        <v>0</v>
      </c>
      <c r="O58" s="22">
        <f t="shared" si="67"/>
        <v>0</v>
      </c>
      <c r="P58" s="79"/>
    </row>
    <row r="59" spans="2:16" ht="16" x14ac:dyDescent="0.2">
      <c r="B59" s="8" t="s">
        <v>127</v>
      </c>
      <c r="C59" s="18" t="str">
        <f>IFERROR(VLOOKUP(B59,WORKSHEET!$O$4:$AM$60,8,FALSE),"")</f>
        <v>Lexus of Chandler</v>
      </c>
      <c r="D59" s="19">
        <f>IF(C59="","",VLOOKUP(B59,WORKSHEET!$O$4:$AM$60,9,FALSE))</f>
        <v>1</v>
      </c>
      <c r="E59" s="20">
        <f>IF(C59="","",VLOOKUP(B59,WORKSHEET!$O$4:$AM$60,10,FALSE))</f>
        <v>0</v>
      </c>
      <c r="F59" s="29">
        <f t="shared" si="63"/>
        <v>0</v>
      </c>
      <c r="G59" s="19">
        <f>IF(C59="","",VLOOKUP(B59,WORKSHEET!$O$4:$AM$60,16,FALSE))</f>
        <v>0</v>
      </c>
      <c r="H59" s="21">
        <f t="shared" si="64"/>
        <v>0</v>
      </c>
      <c r="I59" s="20">
        <f>IF(C59="","",VLOOKUP(B59,WORKSHEET!$O$4:$AM$60,18,FALSE))</f>
        <v>0</v>
      </c>
      <c r="J59" s="19">
        <f>IF(C59="","",VLOOKUP(B59,WORKSHEET!$O$4:$AM$60,19,FALSE))</f>
        <v>0</v>
      </c>
      <c r="K59" s="19">
        <f>IF(C59="","",VLOOKUP(B59,WORKSHEET!$O$4:$AM$60,20,FALSE))</f>
        <v>1</v>
      </c>
      <c r="L59" s="19">
        <f t="shared" si="65"/>
        <v>1</v>
      </c>
      <c r="M59" s="22">
        <f t="shared" si="66"/>
        <v>1</v>
      </c>
      <c r="N59" s="23">
        <f>IF(C59="","",VLOOKUP(B59,WORKSHEET!$O$4:$AM$60,22,FALSE)+VLOOKUP(B59,WORKSHEET!$O$4:$AM$60,23,FALSE)+VLOOKUP(B59,WORKSHEET!$O$4:$AM$60,24,FALSE))</f>
        <v>0</v>
      </c>
      <c r="O59" s="22">
        <f t="shared" si="67"/>
        <v>0</v>
      </c>
      <c r="P59" s="79"/>
    </row>
    <row r="60" spans="2:16" s="8" customFormat="1" ht="16" x14ac:dyDescent="0.2">
      <c r="C60" s="30" t="s">
        <v>71</v>
      </c>
      <c r="D60" s="31">
        <f>SUM(D56:D59)</f>
        <v>57</v>
      </c>
      <c r="E60" s="32">
        <f>SUM(E56:E59)</f>
        <v>31</v>
      </c>
      <c r="F60" s="29">
        <f>IFERROR(E60/D60,0)</f>
        <v>0.54385964912280704</v>
      </c>
      <c r="G60" s="32">
        <f>SUM(G56:G59)</f>
        <v>45</v>
      </c>
      <c r="H60" s="21">
        <f>IFERROR(G60/D60,0)</f>
        <v>0.78947368421052633</v>
      </c>
      <c r="I60" s="32">
        <f t="shared" ref="I60" si="68">SUM(I56:I59)</f>
        <v>8</v>
      </c>
      <c r="J60" s="32">
        <f t="shared" ref="J60" si="69">SUM(J56:J59)</f>
        <v>0</v>
      </c>
      <c r="K60" s="32">
        <f t="shared" ref="K60" si="70">SUM(K56:K59)</f>
        <v>1</v>
      </c>
      <c r="L60" s="32">
        <f t="shared" ref="L60" si="71">SUM(I60:K60)</f>
        <v>9</v>
      </c>
      <c r="M60" s="33">
        <f>IFERROR(SUM(I60:K60)/D60,0)</f>
        <v>0.15789473684210525</v>
      </c>
      <c r="N60" s="32">
        <f>SUM(N56:N59)</f>
        <v>3</v>
      </c>
      <c r="O60" s="33">
        <f>IFERROR(N60/D60,0)</f>
        <v>5.2631578947368418E-2</v>
      </c>
      <c r="P60" s="79"/>
    </row>
    <row r="61" spans="2:16" x14ac:dyDescent="0.15">
      <c r="C61" s="81" t="s">
        <v>62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27"/>
    </row>
    <row r="62" spans="2:16" ht="16" x14ac:dyDescent="0.2">
      <c r="B62" s="8" t="s">
        <v>131</v>
      </c>
      <c r="C62" s="18" t="str">
        <f>IFERROR(VLOOKUP(B62,WORKSHEET!$O$4:$AM$60,8,FALSE),"")</f>
        <v>Lincoln South Coast</v>
      </c>
      <c r="D62" s="19">
        <f>IF(C62="","",VLOOKUP(B62,WORKSHEET!$O$4:$AM$60,9,FALSE))</f>
        <v>3</v>
      </c>
      <c r="E62" s="20">
        <f>IF(C62="","",VLOOKUP(B62,WORKSHEET!$O$4:$AM$60,10,FALSE))</f>
        <v>0</v>
      </c>
      <c r="F62" s="29">
        <f>IF(C62="","",IFERROR(E62/D62,0))</f>
        <v>0</v>
      </c>
      <c r="G62" s="19">
        <f>IF(C62="","",VLOOKUP(B62,WORKSHEET!$O$4:$AM$60,16,FALSE))</f>
        <v>1</v>
      </c>
      <c r="H62" s="21">
        <f>IF(C62="","",IFERROR(G62/D62,0))</f>
        <v>0.33333333333333331</v>
      </c>
      <c r="I62" s="20">
        <f>IF(C62="","",VLOOKUP(B62,WORKSHEET!$O$4:$AM$60,18,FALSE))</f>
        <v>0</v>
      </c>
      <c r="J62" s="19">
        <f>IF(C62="","",VLOOKUP(B62,WORKSHEET!$O$4:$AM$60,19,FALSE))</f>
        <v>0</v>
      </c>
      <c r="K62" s="19">
        <f>IF(C62="","",VLOOKUP(B62,WORKSHEET!$O$4:$AM$60,20,FALSE))</f>
        <v>0</v>
      </c>
      <c r="L62" s="19">
        <f>IF(C62="","",SUM(I62:K62))</f>
        <v>0</v>
      </c>
      <c r="M62" s="22">
        <f>IF(C62="","",IFERROR(SUM(I62:K62)/D62,0))</f>
        <v>0</v>
      </c>
      <c r="N62" s="23">
        <f>IF(C62="","",VLOOKUP(B62,WORKSHEET!$O$4:$AM$60,22,FALSE)+VLOOKUP(B62,WORKSHEET!$O$4:$AM$60,23,FALSE)+VLOOKUP(B62,WORKSHEET!$O$4:$AM$60,24,FALSE))</f>
        <v>2</v>
      </c>
      <c r="O62" s="22">
        <f>IF(C62="","",IFERROR(N62/D62,0))</f>
        <v>0.66666666666666663</v>
      </c>
      <c r="P62" s="79">
        <v>0.45</v>
      </c>
    </row>
    <row r="63" spans="2:16" s="8" customFormat="1" ht="16" x14ac:dyDescent="0.2">
      <c r="C63" s="30" t="s">
        <v>71</v>
      </c>
      <c r="D63" s="31">
        <f>SUM(D62)</f>
        <v>3</v>
      </c>
      <c r="E63" s="32">
        <f>SUM(E62)</f>
        <v>0</v>
      </c>
      <c r="F63" s="29">
        <f>IFERROR(E63/D63,0)</f>
        <v>0</v>
      </c>
      <c r="G63" s="32">
        <f>SUM(G62)</f>
        <v>1</v>
      </c>
      <c r="H63" s="21">
        <f>IFERROR(G63/D63,0)</f>
        <v>0.33333333333333331</v>
      </c>
      <c r="I63" s="32">
        <f t="shared" ref="I63" si="72">SUM(I62)</f>
        <v>0</v>
      </c>
      <c r="J63" s="32">
        <f t="shared" ref="J63" si="73">SUM(J62)</f>
        <v>0</v>
      </c>
      <c r="K63" s="32">
        <f t="shared" ref="K63" si="74">SUM(K62)</f>
        <v>0</v>
      </c>
      <c r="L63" s="32">
        <f t="shared" ref="L63" si="75">SUM(I63:K63)</f>
        <v>0</v>
      </c>
      <c r="M63" s="33">
        <f>IFERROR(SUM(I63:K63)/D63,0)</f>
        <v>0</v>
      </c>
      <c r="N63" s="32">
        <f>SUM(N62)</f>
        <v>2</v>
      </c>
      <c r="O63" s="33">
        <f>IFERROR(N63/D63,0)</f>
        <v>0.66666666666666663</v>
      </c>
      <c r="P63" s="79"/>
    </row>
    <row r="64" spans="2:16" x14ac:dyDescent="0.15">
      <c r="C64" s="81" t="s">
        <v>63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27"/>
    </row>
    <row r="65" spans="2:16" ht="16" x14ac:dyDescent="0.2">
      <c r="B65" s="8" t="s">
        <v>134</v>
      </c>
      <c r="C65" s="18" t="str">
        <f>IFERROR(VLOOKUP(B65,WORKSHEET!$O$4:$AM$60,8,FALSE),"")</f>
        <v>Mazda of Escondido</v>
      </c>
      <c r="D65" s="19">
        <f>IF(C65="","",VLOOKUP(B65,WORKSHEET!$O$4:$AM$60,9,FALSE))</f>
        <v>23</v>
      </c>
      <c r="E65" s="20">
        <f>IF(C65="","",VLOOKUP(B65,WORKSHEET!$O$4:$AM$60,10,FALSE))</f>
        <v>7</v>
      </c>
      <c r="F65" s="29">
        <f>IF(C65="","",IFERROR(E65/D65,0))</f>
        <v>0.30434782608695654</v>
      </c>
      <c r="G65" s="19">
        <f>IF(C65="","",VLOOKUP(B65,WORKSHEET!$O$4:$AM$60,16,FALSE))</f>
        <v>12</v>
      </c>
      <c r="H65" s="21">
        <f>IF(C65="","",IFERROR(G65/D65,0))</f>
        <v>0.52173913043478259</v>
      </c>
      <c r="I65" s="20">
        <f>IF(C65="","",VLOOKUP(B65,WORKSHEET!$O$4:$AM$60,18,FALSE))</f>
        <v>0</v>
      </c>
      <c r="J65" s="19">
        <f>IF(C65="","",VLOOKUP(B65,WORKSHEET!$O$4:$AM$60,19,FALSE))</f>
        <v>0</v>
      </c>
      <c r="K65" s="19">
        <f>IF(C65="","",VLOOKUP(B65,WORKSHEET!$O$4:$AM$60,20,FALSE))</f>
        <v>0</v>
      </c>
      <c r="L65" s="19">
        <f>IF(C65="","",SUM(I65:K65))</f>
        <v>0</v>
      </c>
      <c r="M65" s="22">
        <f>IF(C65="","",IFERROR(SUM(I65:K65)/D65,0))</f>
        <v>0</v>
      </c>
      <c r="N65" s="23">
        <f>IF(C65="","",VLOOKUP(B65,WORKSHEET!$O$4:$AM$60,22,FALSE)+VLOOKUP(B65,WORKSHEET!$O$4:$AM$60,23,FALSE)+VLOOKUP(B65,WORKSHEET!$O$4:$AM$60,24,FALSE))</f>
        <v>11</v>
      </c>
      <c r="O65" s="22">
        <f>IF(C65="","",IFERROR(N65/D65,0))</f>
        <v>0.47826086956521741</v>
      </c>
      <c r="P65" s="79">
        <v>0.7</v>
      </c>
    </row>
    <row r="66" spans="2:16" s="8" customFormat="1" ht="16" x14ac:dyDescent="0.2">
      <c r="C66" s="30" t="s">
        <v>71</v>
      </c>
      <c r="D66" s="31">
        <f>SUM(D65)</f>
        <v>23</v>
      </c>
      <c r="E66" s="32">
        <f>SUM(E65)</f>
        <v>7</v>
      </c>
      <c r="F66" s="29">
        <f>IFERROR(E66/D66,0)</f>
        <v>0.30434782608695654</v>
      </c>
      <c r="G66" s="32">
        <f>SUM(G65)</f>
        <v>12</v>
      </c>
      <c r="H66" s="21">
        <f>IFERROR(G66/D66,0)</f>
        <v>0.52173913043478259</v>
      </c>
      <c r="I66" s="32">
        <f t="shared" ref="I66" si="76">SUM(I65)</f>
        <v>0</v>
      </c>
      <c r="J66" s="32">
        <f t="shared" ref="J66" si="77">SUM(J65)</f>
        <v>0</v>
      </c>
      <c r="K66" s="32">
        <f t="shared" ref="K66" si="78">SUM(K65)</f>
        <v>0</v>
      </c>
      <c r="L66" s="32">
        <f t="shared" ref="L66" si="79">SUM(I66:K66)</f>
        <v>0</v>
      </c>
      <c r="M66" s="33">
        <f>IFERROR(SUM(I66:K66)/D66,0)</f>
        <v>0</v>
      </c>
      <c r="N66" s="32">
        <f>SUM(N65)</f>
        <v>11</v>
      </c>
      <c r="O66" s="33">
        <f>IFERROR(N66/D66,0)</f>
        <v>0.47826086956521741</v>
      </c>
      <c r="P66" s="79"/>
    </row>
    <row r="67" spans="2:16" x14ac:dyDescent="0.15">
      <c r="C67" s="81" t="s">
        <v>64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27"/>
    </row>
    <row r="68" spans="2:16" ht="16" x14ac:dyDescent="0.2">
      <c r="B68" s="8" t="s">
        <v>136</v>
      </c>
      <c r="C68" s="18" t="str">
        <f>IFERROR(VLOOKUP(B68,WORKSHEET!$O$4:$AM$60,8,FALSE),"")</f>
        <v>Mercedes-Benz of North Scottsdale</v>
      </c>
      <c r="D68" s="19">
        <f>IF(C68="","",VLOOKUP(B68,WORKSHEET!$O$4:$AM$60,9,FALSE))</f>
        <v>17</v>
      </c>
      <c r="E68" s="20">
        <f>IF(C68="","",VLOOKUP(B68,WORKSHEET!$O$4:$AM$60,10,FALSE))</f>
        <v>5</v>
      </c>
      <c r="F68" s="29">
        <f t="shared" ref="F68:F70" si="80">IF(C68="","",IFERROR(E68/D68,0))</f>
        <v>0.29411764705882354</v>
      </c>
      <c r="G68" s="19">
        <f>IF(C68="","",VLOOKUP(B68,WORKSHEET!$O$4:$AM$60,16,FALSE))</f>
        <v>14</v>
      </c>
      <c r="H68" s="21">
        <f t="shared" ref="H68:H70" si="81">IF(C68="","",IFERROR(G68/D68,0))</f>
        <v>0.82352941176470584</v>
      </c>
      <c r="I68" s="20">
        <f>IF(C68="","",VLOOKUP(B68,WORKSHEET!$O$4:$AM$60,18,FALSE))</f>
        <v>0</v>
      </c>
      <c r="J68" s="19">
        <f>IF(C68="","",VLOOKUP(B68,WORKSHEET!$O$4:$AM$60,19,FALSE))</f>
        <v>0</v>
      </c>
      <c r="K68" s="19">
        <f>IF(C68="","",VLOOKUP(B68,WORKSHEET!$O$4:$AM$60,20,FALSE))</f>
        <v>0</v>
      </c>
      <c r="L68" s="19">
        <f t="shared" ref="L68:L70" si="82">IF(C68="","",SUM(I68:K68))</f>
        <v>0</v>
      </c>
      <c r="M68" s="22">
        <f t="shared" ref="M68:M70" si="83">IF(C68="","",IFERROR(SUM(I68:K68)/D68,0))</f>
        <v>0</v>
      </c>
      <c r="N68" s="23">
        <f>IF(C68="","",VLOOKUP(B68,WORKSHEET!$O$4:$AM$60,22,FALSE)+VLOOKUP(B68,WORKSHEET!$O$4:$AM$60,23,FALSE)+VLOOKUP(B68,WORKSHEET!$O$4:$AM$60,24,FALSE))</f>
        <v>3</v>
      </c>
      <c r="O68" s="22">
        <f t="shared" ref="O68:O70" si="84">IF(C68="","",IFERROR(N68/D68,0))</f>
        <v>0.17647058823529413</v>
      </c>
      <c r="P68" s="79">
        <v>0.52</v>
      </c>
    </row>
    <row r="69" spans="2:16" ht="16" x14ac:dyDescent="0.2">
      <c r="B69" s="8" t="s">
        <v>137</v>
      </c>
      <c r="C69" s="18" t="str">
        <f>IFERROR(VLOOKUP(B69,WORKSHEET!$O$4:$AM$60,8,FALSE),"")</f>
        <v>Mercedes-Benz of San Diego</v>
      </c>
      <c r="D69" s="19">
        <f>IF(C69="","",VLOOKUP(B69,WORKSHEET!$O$4:$AM$60,9,FALSE))</f>
        <v>40</v>
      </c>
      <c r="E69" s="20">
        <f>IF(C69="","",VLOOKUP(B69,WORKSHEET!$O$4:$AM$60,10,FALSE))</f>
        <v>11</v>
      </c>
      <c r="F69" s="29">
        <f t="shared" si="80"/>
        <v>0.27500000000000002</v>
      </c>
      <c r="G69" s="19">
        <f>IF(C69="","",VLOOKUP(B69,WORKSHEET!$O$4:$AM$60,16,FALSE))</f>
        <v>22</v>
      </c>
      <c r="H69" s="21">
        <f t="shared" si="81"/>
        <v>0.55000000000000004</v>
      </c>
      <c r="I69" s="20">
        <f>IF(C69="","",VLOOKUP(B69,WORKSHEET!$O$4:$AM$60,18,FALSE))</f>
        <v>3</v>
      </c>
      <c r="J69" s="19">
        <f>IF(C69="","",VLOOKUP(B69,WORKSHEET!$O$4:$AM$60,19,FALSE))</f>
        <v>0</v>
      </c>
      <c r="K69" s="19">
        <f>IF(C69="","",VLOOKUP(B69,WORKSHEET!$O$4:$AM$60,20,FALSE))</f>
        <v>0</v>
      </c>
      <c r="L69" s="19">
        <f t="shared" si="82"/>
        <v>3</v>
      </c>
      <c r="M69" s="22">
        <f t="shared" si="83"/>
        <v>7.4999999999999997E-2</v>
      </c>
      <c r="N69" s="23">
        <f>IF(C69="","",VLOOKUP(B69,WORKSHEET!$O$4:$AM$60,22,FALSE)+VLOOKUP(B69,WORKSHEET!$O$4:$AM$60,23,FALSE)+VLOOKUP(B69,WORKSHEET!$O$4:$AM$60,24,FALSE))</f>
        <v>15</v>
      </c>
      <c r="O69" s="22">
        <f t="shared" si="84"/>
        <v>0.375</v>
      </c>
      <c r="P69" s="79"/>
    </row>
    <row r="70" spans="2:16" ht="16" x14ac:dyDescent="0.2">
      <c r="B70" s="8" t="s">
        <v>135</v>
      </c>
      <c r="C70" s="18" t="str">
        <f>IFERROR(VLOOKUP(B70,WORKSHEET!$O$4:$AM$60,8,FALSE),"")</f>
        <v>Mercedes-Benz of Chandler</v>
      </c>
      <c r="D70" s="19">
        <f>IF(C70="","",VLOOKUP(B70,WORKSHEET!$O$4:$AM$60,9,FALSE))</f>
        <v>8</v>
      </c>
      <c r="E70" s="20">
        <f>IF(C70="","",VLOOKUP(B70,WORKSHEET!$O$4:$AM$60,10,FALSE))</f>
        <v>1</v>
      </c>
      <c r="F70" s="29">
        <f t="shared" si="80"/>
        <v>0.125</v>
      </c>
      <c r="G70" s="19">
        <f>IF(C70="","",VLOOKUP(B70,WORKSHEET!$O$4:$AM$60,16,FALSE))</f>
        <v>4</v>
      </c>
      <c r="H70" s="21">
        <f t="shared" si="81"/>
        <v>0.5</v>
      </c>
      <c r="I70" s="20">
        <f>IF(C70="","",VLOOKUP(B70,WORKSHEET!$O$4:$AM$60,18,FALSE))</f>
        <v>0</v>
      </c>
      <c r="J70" s="19">
        <f>IF(C70="","",VLOOKUP(B70,WORKSHEET!$O$4:$AM$60,19,FALSE))</f>
        <v>0</v>
      </c>
      <c r="K70" s="19">
        <f>IF(C70="","",VLOOKUP(B70,WORKSHEET!$O$4:$AM$60,20,FALSE))</f>
        <v>0</v>
      </c>
      <c r="L70" s="19">
        <f t="shared" si="82"/>
        <v>0</v>
      </c>
      <c r="M70" s="22">
        <f t="shared" si="83"/>
        <v>0</v>
      </c>
      <c r="N70" s="23">
        <f>IF(C70="","",VLOOKUP(B70,WORKSHEET!$O$4:$AM$60,22,FALSE)+VLOOKUP(B70,WORKSHEET!$O$4:$AM$60,23,FALSE)+VLOOKUP(B70,WORKSHEET!$O$4:$AM$60,24,FALSE))</f>
        <v>4</v>
      </c>
      <c r="O70" s="22">
        <f t="shared" si="84"/>
        <v>0.5</v>
      </c>
      <c r="P70" s="79"/>
    </row>
    <row r="71" spans="2:16" s="8" customFormat="1" ht="16" x14ac:dyDescent="0.2">
      <c r="C71" s="30" t="s">
        <v>71</v>
      </c>
      <c r="D71" s="31">
        <f>SUM(D68:D70)</f>
        <v>65</v>
      </c>
      <c r="E71" s="32">
        <f>SUM(E68:E70)</f>
        <v>17</v>
      </c>
      <c r="F71" s="29">
        <f>IFERROR(E71/D71,0)</f>
        <v>0.26153846153846155</v>
      </c>
      <c r="G71" s="32">
        <f>SUM(G68:G70)</f>
        <v>40</v>
      </c>
      <c r="H71" s="21">
        <f>IFERROR(G71/D71,0)</f>
        <v>0.61538461538461542</v>
      </c>
      <c r="I71" s="32">
        <f t="shared" ref="I71:K71" si="85">SUM(I68:I70)</f>
        <v>3</v>
      </c>
      <c r="J71" s="32">
        <f t="shared" si="85"/>
        <v>0</v>
      </c>
      <c r="K71" s="32">
        <f t="shared" si="85"/>
        <v>0</v>
      </c>
      <c r="L71" s="32">
        <f t="shared" ref="L71" si="86">SUM(I71:K71)</f>
        <v>3</v>
      </c>
      <c r="M71" s="33">
        <f>IFERROR(SUM(I71:K71)/D71,0)</f>
        <v>4.6153846153846156E-2</v>
      </c>
      <c r="N71" s="32">
        <f>SUM(N68:N70)</f>
        <v>22</v>
      </c>
      <c r="O71" s="33">
        <f>IFERROR(N71/D71,0)</f>
        <v>0.33846153846153848</v>
      </c>
      <c r="P71" s="79"/>
    </row>
    <row r="72" spans="2:16" x14ac:dyDescent="0.15">
      <c r="C72" s="81" t="s">
        <v>65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27"/>
    </row>
    <row r="73" spans="2:16" ht="16" x14ac:dyDescent="0.2">
      <c r="B73" s="8" t="s">
        <v>143</v>
      </c>
      <c r="C73" s="18" t="str">
        <f>IFERROR(VLOOKUP(B73,WORKSHEET!$O$4:$AM$60,8,FALSE),"")</f>
        <v>Crevier MINI</v>
      </c>
      <c r="D73" s="19">
        <f>IF(C73="","",VLOOKUP(B73,WORKSHEET!$O$4:$AM$60,9,FALSE))</f>
        <v>5</v>
      </c>
      <c r="E73" s="20">
        <f>IF(C73="","",VLOOKUP(B73,WORKSHEET!$O$4:$AM$60,10,FALSE))</f>
        <v>3</v>
      </c>
      <c r="F73" s="29">
        <f t="shared" ref="F73:F80" si="87">IF(C73="","",IFERROR(E73/D73,0))</f>
        <v>0.6</v>
      </c>
      <c r="G73" s="19">
        <f>IF(C73="","",VLOOKUP(B73,WORKSHEET!$O$4:$AM$60,16,FALSE))</f>
        <v>5</v>
      </c>
      <c r="H73" s="21">
        <f t="shared" ref="H73:H80" si="88">IF(C73="","",IFERROR(G73/D73,0))</f>
        <v>1</v>
      </c>
      <c r="I73" s="20">
        <f>IF(C73="","",VLOOKUP(B73,WORKSHEET!$O$4:$AM$60,18,FALSE))</f>
        <v>0</v>
      </c>
      <c r="J73" s="19">
        <f>IF(C73="","",VLOOKUP(B73,WORKSHEET!$O$4:$AM$60,19,FALSE))</f>
        <v>0</v>
      </c>
      <c r="K73" s="19">
        <f>IF(C73="","",VLOOKUP(B73,WORKSHEET!$O$4:$AM$60,20,FALSE))</f>
        <v>0</v>
      </c>
      <c r="L73" s="19">
        <f t="shared" ref="L73:L80" si="89">IF(C73="","",SUM(I73:K73))</f>
        <v>0</v>
      </c>
      <c r="M73" s="22">
        <f t="shared" ref="M73:M80" si="90">IF(C73="","",IFERROR(SUM(I73:K73)/D73,0))</f>
        <v>0</v>
      </c>
      <c r="N73" s="23">
        <f>IF(C73="","",VLOOKUP(B73,WORKSHEET!$O$4:$AM$60,22,FALSE)+VLOOKUP(B73,WORKSHEET!$O$4:$AM$60,23,FALSE)+VLOOKUP(B73,WORKSHEET!$O$4:$AM$60,24,FALSE))</f>
        <v>0</v>
      </c>
      <c r="O73" s="22">
        <f t="shared" ref="O73:O80" si="91">IF(C73="","",IFERROR(N73/D73,0))</f>
        <v>0</v>
      </c>
      <c r="P73" s="79">
        <v>0.52</v>
      </c>
    </row>
    <row r="74" spans="2:16" ht="16" x14ac:dyDescent="0.2">
      <c r="B74" s="8" t="s">
        <v>142</v>
      </c>
      <c r="C74" s="18" t="str">
        <f>IFERROR(VLOOKUP(B74,WORKSHEET!$O$4:$AM$60,8,FALSE),"")</f>
        <v>MINI of Ontario</v>
      </c>
      <c r="D74" s="19">
        <f>IF(C74="","",VLOOKUP(B74,WORKSHEET!$O$4:$AM$60,9,FALSE))</f>
        <v>0</v>
      </c>
      <c r="E74" s="20">
        <f>IF(C74="","",VLOOKUP(B74,WORKSHEET!$O$4:$AM$60,10,FALSE))</f>
        <v>0</v>
      </c>
      <c r="F74" s="29">
        <f t="shared" si="87"/>
        <v>0</v>
      </c>
      <c r="G74" s="19">
        <f>IF(C74="","",VLOOKUP(B74,WORKSHEET!$O$4:$AM$60,16,FALSE))</f>
        <v>0</v>
      </c>
      <c r="H74" s="21">
        <f t="shared" si="88"/>
        <v>0</v>
      </c>
      <c r="I74" s="20">
        <f>IF(C74="","",VLOOKUP(B74,WORKSHEET!$O$4:$AM$60,18,FALSE))</f>
        <v>0</v>
      </c>
      <c r="J74" s="19">
        <f>IF(C74="","",VLOOKUP(B74,WORKSHEET!$O$4:$AM$60,19,FALSE))</f>
        <v>0</v>
      </c>
      <c r="K74" s="19">
        <f>IF(C74="","",VLOOKUP(B74,WORKSHEET!$O$4:$AM$60,20,FALSE))</f>
        <v>0</v>
      </c>
      <c r="L74" s="19">
        <f t="shared" si="89"/>
        <v>0</v>
      </c>
      <c r="M74" s="22">
        <f t="shared" si="90"/>
        <v>0</v>
      </c>
      <c r="N74" s="23">
        <f>IF(C74="","",VLOOKUP(B74,WORKSHEET!$O$4:$AM$60,22,FALSE)+VLOOKUP(B74,WORKSHEET!$O$4:$AM$60,23,FALSE)+VLOOKUP(B74,WORKSHEET!$O$4:$AM$60,24,FALSE))</f>
        <v>0</v>
      </c>
      <c r="O74" s="22">
        <f t="shared" si="91"/>
        <v>0</v>
      </c>
      <c r="P74" s="79"/>
    </row>
    <row r="75" spans="2:16" ht="16" x14ac:dyDescent="0.2">
      <c r="B75" s="8" t="s">
        <v>140</v>
      </c>
      <c r="C75" s="18" t="str">
        <f>IFERROR(VLOOKUP(B75,WORKSHEET!$O$4:$AM$60,8,FALSE),"")</f>
        <v>MINI of Tempe</v>
      </c>
      <c r="D75" s="19">
        <f>IF(C75="","",VLOOKUP(B75,WORKSHEET!$O$4:$AM$60,9,FALSE))</f>
        <v>3</v>
      </c>
      <c r="E75" s="20">
        <f>IF(C75="","",VLOOKUP(B75,WORKSHEET!$O$4:$AM$60,10,FALSE))</f>
        <v>1</v>
      </c>
      <c r="F75" s="29">
        <f t="shared" si="87"/>
        <v>0.33333333333333331</v>
      </c>
      <c r="G75" s="19">
        <f>IF(C75="","",VLOOKUP(B75,WORKSHEET!$O$4:$AM$60,16,FALSE))</f>
        <v>1</v>
      </c>
      <c r="H75" s="21">
        <f t="shared" si="88"/>
        <v>0.33333333333333331</v>
      </c>
      <c r="I75" s="20">
        <f>IF(C75="","",VLOOKUP(B75,WORKSHEET!$O$4:$AM$60,18,FALSE))</f>
        <v>0</v>
      </c>
      <c r="J75" s="19">
        <f>IF(C75="","",VLOOKUP(B75,WORKSHEET!$O$4:$AM$60,19,FALSE))</f>
        <v>0</v>
      </c>
      <c r="K75" s="19">
        <f>IF(C75="","",VLOOKUP(B75,WORKSHEET!$O$4:$AM$60,20,FALSE))</f>
        <v>0</v>
      </c>
      <c r="L75" s="19">
        <f t="shared" si="89"/>
        <v>0</v>
      </c>
      <c r="M75" s="22">
        <f t="shared" si="90"/>
        <v>0</v>
      </c>
      <c r="N75" s="23">
        <f>IF(C75="","",VLOOKUP(B75,WORKSHEET!$O$4:$AM$60,22,FALSE)+VLOOKUP(B75,WORKSHEET!$O$4:$AM$60,23,FALSE)+VLOOKUP(B75,WORKSHEET!$O$4:$AM$60,24,FALSE))</f>
        <v>2</v>
      </c>
      <c r="O75" s="22">
        <f t="shared" si="91"/>
        <v>0.66666666666666663</v>
      </c>
      <c r="P75" s="79"/>
    </row>
    <row r="76" spans="2:16" ht="16" x14ac:dyDescent="0.2">
      <c r="B76" s="8" t="s">
        <v>139</v>
      </c>
      <c r="C76" s="18" t="str">
        <f>IFERROR(VLOOKUP(B76,WORKSHEET!$O$4:$AM$60,8,FALSE),"")</f>
        <v>MINI of Marin</v>
      </c>
      <c r="D76" s="19">
        <f>IF(C76="","",VLOOKUP(B76,WORKSHEET!$O$4:$AM$60,9,FALSE))</f>
        <v>7</v>
      </c>
      <c r="E76" s="20">
        <f>IF(C76="","",VLOOKUP(B76,WORKSHEET!$O$4:$AM$60,10,FALSE))</f>
        <v>2</v>
      </c>
      <c r="F76" s="29">
        <f t="shared" si="87"/>
        <v>0.2857142857142857</v>
      </c>
      <c r="G76" s="19">
        <f>IF(C76="","",VLOOKUP(B76,WORKSHEET!$O$4:$AM$60,16,FALSE))</f>
        <v>4</v>
      </c>
      <c r="H76" s="21">
        <f t="shared" si="88"/>
        <v>0.5714285714285714</v>
      </c>
      <c r="I76" s="20">
        <f>IF(C76="","",VLOOKUP(B76,WORKSHEET!$O$4:$AM$60,18,FALSE))</f>
        <v>1</v>
      </c>
      <c r="J76" s="19">
        <f>IF(C76="","",VLOOKUP(B76,WORKSHEET!$O$4:$AM$60,19,FALSE))</f>
        <v>0</v>
      </c>
      <c r="K76" s="19">
        <f>IF(C76="","",VLOOKUP(B76,WORKSHEET!$O$4:$AM$60,20,FALSE))</f>
        <v>0</v>
      </c>
      <c r="L76" s="19">
        <f t="shared" si="89"/>
        <v>1</v>
      </c>
      <c r="M76" s="22">
        <f t="shared" si="90"/>
        <v>0.14285714285714285</v>
      </c>
      <c r="N76" s="23">
        <f>IF(C76="","",VLOOKUP(B76,WORKSHEET!$O$4:$AM$60,22,FALSE)+VLOOKUP(B76,WORKSHEET!$O$4:$AM$60,23,FALSE)+VLOOKUP(B76,WORKSHEET!$O$4:$AM$60,24,FALSE))</f>
        <v>2</v>
      </c>
      <c r="O76" s="22">
        <f t="shared" si="91"/>
        <v>0.2857142857142857</v>
      </c>
      <c r="P76" s="79"/>
    </row>
    <row r="77" spans="2:16" ht="16" x14ac:dyDescent="0.2">
      <c r="B77" s="8" t="s">
        <v>120</v>
      </c>
      <c r="C77" s="18" t="str">
        <f>IFERROR(VLOOKUP(B77,WORKSHEET!$O$4:$AM$60,8,FALSE),"")</f>
        <v>MINI of San Diego</v>
      </c>
      <c r="D77" s="19">
        <f>IF(C77="","",VLOOKUP(B77,WORKSHEET!$O$4:$AM$60,9,FALSE))</f>
        <v>13</v>
      </c>
      <c r="E77" s="20">
        <f>IF(C77="","",VLOOKUP(B77,WORKSHEET!$O$4:$AM$60,10,FALSE))</f>
        <v>2</v>
      </c>
      <c r="F77" s="29">
        <f t="shared" si="87"/>
        <v>0.15384615384615385</v>
      </c>
      <c r="G77" s="19">
        <f>IF(C77="","",VLOOKUP(B77,WORKSHEET!$O$4:$AM$60,16,FALSE))</f>
        <v>5</v>
      </c>
      <c r="H77" s="21">
        <f t="shared" si="88"/>
        <v>0.38461538461538464</v>
      </c>
      <c r="I77" s="20">
        <f>IF(C77="","",VLOOKUP(B77,WORKSHEET!$O$4:$AM$60,18,FALSE))</f>
        <v>3</v>
      </c>
      <c r="J77" s="19">
        <f>IF(C77="","",VLOOKUP(B77,WORKSHEET!$O$4:$AM$60,19,FALSE))</f>
        <v>1</v>
      </c>
      <c r="K77" s="19">
        <f>IF(C77="","",VLOOKUP(B77,WORKSHEET!$O$4:$AM$60,20,FALSE))</f>
        <v>0</v>
      </c>
      <c r="L77" s="19">
        <f t="shared" si="89"/>
        <v>4</v>
      </c>
      <c r="M77" s="22">
        <f t="shared" si="90"/>
        <v>0.30769230769230771</v>
      </c>
      <c r="N77" s="23">
        <f>IF(C77="","",VLOOKUP(B77,WORKSHEET!$O$4:$AM$60,22,FALSE)+VLOOKUP(B77,WORKSHEET!$O$4:$AM$60,23,FALSE)+VLOOKUP(B77,WORKSHEET!$O$4:$AM$60,24,FALSE))</f>
        <v>4</v>
      </c>
      <c r="O77" s="22">
        <f t="shared" si="91"/>
        <v>0.30769230769230771</v>
      </c>
      <c r="P77" s="79"/>
    </row>
    <row r="78" spans="2:16" ht="16" x14ac:dyDescent="0.2">
      <c r="B78" s="8" t="s">
        <v>138</v>
      </c>
      <c r="C78" s="18" t="str">
        <f>IFERROR(VLOOKUP(B78,WORKSHEET!$O$4:$AM$60,8,FALSE),"")</f>
        <v>MINI North Scottsdale</v>
      </c>
      <c r="D78" s="19">
        <f>IF(C78="","",VLOOKUP(B78,WORKSHEET!$O$4:$AM$60,9,FALSE))</f>
        <v>4</v>
      </c>
      <c r="E78" s="20">
        <f>IF(C78="","",VLOOKUP(B78,WORKSHEET!$O$4:$AM$60,10,FALSE))</f>
        <v>0</v>
      </c>
      <c r="F78" s="29">
        <f t="shared" si="87"/>
        <v>0</v>
      </c>
      <c r="G78" s="19">
        <f>IF(C78="","",VLOOKUP(B78,WORKSHEET!$O$4:$AM$60,16,FALSE))</f>
        <v>2</v>
      </c>
      <c r="H78" s="21">
        <f t="shared" si="88"/>
        <v>0.5</v>
      </c>
      <c r="I78" s="20">
        <f>IF(C78="","",VLOOKUP(B78,WORKSHEET!$O$4:$AM$60,18,FALSE))</f>
        <v>0</v>
      </c>
      <c r="J78" s="19">
        <f>IF(C78="","",VLOOKUP(B78,WORKSHEET!$O$4:$AM$60,19,FALSE))</f>
        <v>0</v>
      </c>
      <c r="K78" s="19">
        <f>IF(C78="","",VLOOKUP(B78,WORKSHEET!$O$4:$AM$60,20,FALSE))</f>
        <v>0</v>
      </c>
      <c r="L78" s="19">
        <f t="shared" si="89"/>
        <v>0</v>
      </c>
      <c r="M78" s="22">
        <f t="shared" si="90"/>
        <v>0</v>
      </c>
      <c r="N78" s="23">
        <f>IF(C78="","",VLOOKUP(B78,WORKSHEET!$O$4:$AM$60,22,FALSE)+VLOOKUP(B78,WORKSHEET!$O$4:$AM$60,23,FALSE)+VLOOKUP(B78,WORKSHEET!$O$4:$AM$60,24,FALSE))</f>
        <v>2</v>
      </c>
      <c r="O78" s="22">
        <f t="shared" si="91"/>
        <v>0.5</v>
      </c>
      <c r="P78" s="79"/>
    </row>
    <row r="79" spans="2:16" ht="16" x14ac:dyDescent="0.2">
      <c r="B79" s="8" t="s">
        <v>141</v>
      </c>
      <c r="C79" s="18" t="str">
        <f>IFERROR(VLOOKUP(B79,WORKSHEET!$O$4:$AM$60,8,FALSE),"")</f>
        <v>MINI of Austin</v>
      </c>
      <c r="D79" s="19">
        <f>IF(C79="","",VLOOKUP(B79,WORKSHEET!$O$4:$AM$60,9,FALSE))</f>
        <v>2</v>
      </c>
      <c r="E79" s="20">
        <f>IF(C79="","",VLOOKUP(B79,WORKSHEET!$O$4:$AM$60,10,FALSE))</f>
        <v>0</v>
      </c>
      <c r="F79" s="29">
        <f t="shared" ref="F79" si="92">IF(C79="","",IFERROR(E79/D79,0))</f>
        <v>0</v>
      </c>
      <c r="G79" s="19">
        <f>IF(C79="","",VLOOKUP(B79,WORKSHEET!$O$4:$AM$60,16,FALSE))</f>
        <v>1</v>
      </c>
      <c r="H79" s="21">
        <f t="shared" ref="H79" si="93">IF(C79="","",IFERROR(G79/D79,0))</f>
        <v>0.5</v>
      </c>
      <c r="I79" s="20">
        <f>IF(C79="","",VLOOKUP(B79,WORKSHEET!$O$4:$AM$60,18,FALSE))</f>
        <v>0</v>
      </c>
      <c r="J79" s="19">
        <f>IF(C79="","",VLOOKUP(B79,WORKSHEET!$O$4:$AM$60,19,FALSE))</f>
        <v>0</v>
      </c>
      <c r="K79" s="19">
        <f>IF(C79="","",VLOOKUP(B79,WORKSHEET!$O$4:$AM$60,20,FALSE))</f>
        <v>0</v>
      </c>
      <c r="L79" s="19">
        <f t="shared" ref="L79" si="94">IF(C79="","",SUM(I79:K79))</f>
        <v>0</v>
      </c>
      <c r="M79" s="22">
        <f t="shared" ref="M79" si="95">IF(C79="","",IFERROR(SUM(I79:K79)/D79,0))</f>
        <v>0</v>
      </c>
      <c r="N79" s="23">
        <f>IF(C79="","",VLOOKUP(B79,WORKSHEET!$O$4:$AM$60,22,FALSE)+VLOOKUP(B79,WORKSHEET!$O$4:$AM$60,23,FALSE)+VLOOKUP(B79,WORKSHEET!$O$4:$AM$60,24,FALSE))</f>
        <v>1</v>
      </c>
      <c r="O79" s="22">
        <f t="shared" ref="O79" si="96">IF(C79="","",IFERROR(N79/D79,0))</f>
        <v>0.5</v>
      </c>
      <c r="P79" s="79"/>
    </row>
    <row r="80" spans="2:16" ht="16" hidden="1" x14ac:dyDescent="0.2">
      <c r="B80" s="8" t="s">
        <v>257</v>
      </c>
      <c r="C80" s="18" t="str">
        <f>IFERROR(VLOOKUP(B80,WORKSHEET!$O$4:$AM$60,8,FALSE),"")</f>
        <v/>
      </c>
      <c r="D80" s="19" t="str">
        <f>IF(C80="","",VLOOKUP(B80,WORKSHEET!$O$4:$AM$60,9,FALSE))</f>
        <v/>
      </c>
      <c r="E80" s="20" t="str">
        <f>IF(C80="","",VLOOKUP(B80,WORKSHEET!$O$4:$AM$60,10,FALSE))</f>
        <v/>
      </c>
      <c r="F80" s="29" t="str">
        <f t="shared" si="87"/>
        <v/>
      </c>
      <c r="G80" s="19" t="str">
        <f>IF(C80="","",VLOOKUP(B80,WORKSHEET!$O$4:$AM$60,16,FALSE))</f>
        <v/>
      </c>
      <c r="H80" s="21" t="str">
        <f t="shared" si="88"/>
        <v/>
      </c>
      <c r="I80" s="20" t="str">
        <f>IF(C80="","",VLOOKUP(B80,WORKSHEET!$O$4:$AM$60,18,FALSE))</f>
        <v/>
      </c>
      <c r="J80" s="19" t="str">
        <f>IF(C80="","",VLOOKUP(B80,WORKSHEET!$O$4:$AM$60,19,FALSE))</f>
        <v/>
      </c>
      <c r="K80" s="19" t="str">
        <f>IF(C80="","",VLOOKUP(B80,WORKSHEET!$O$4:$AM$60,20,FALSE))</f>
        <v/>
      </c>
      <c r="L80" s="19" t="str">
        <f t="shared" si="89"/>
        <v/>
      </c>
      <c r="M80" s="22" t="str">
        <f t="shared" si="90"/>
        <v/>
      </c>
      <c r="N80" s="23" t="str">
        <f>IF(C80="","",VLOOKUP(B80,WORKSHEET!$O$4:$AM$60,22,FALSE)+VLOOKUP(B80,WORKSHEET!$O$4:$AM$60,23,FALSE)+VLOOKUP(B80,WORKSHEET!$O$4:$AM$60,24,FALSE))</f>
        <v/>
      </c>
      <c r="O80" s="22" t="str">
        <f t="shared" si="91"/>
        <v/>
      </c>
      <c r="P80" s="79"/>
    </row>
    <row r="81" spans="2:16" s="8" customFormat="1" ht="16" x14ac:dyDescent="0.2">
      <c r="C81" s="30" t="s">
        <v>71</v>
      </c>
      <c r="D81" s="31">
        <f>SUM(D73:D80)</f>
        <v>34</v>
      </c>
      <c r="E81" s="32">
        <f>SUM(E73:E80)</f>
        <v>8</v>
      </c>
      <c r="F81" s="29">
        <f>IFERROR(E81/D81,0)</f>
        <v>0.23529411764705882</v>
      </c>
      <c r="G81" s="32">
        <f>SUM(G73:G80)</f>
        <v>18</v>
      </c>
      <c r="H81" s="21">
        <f>IFERROR(G81/D81,0)</f>
        <v>0.52941176470588236</v>
      </c>
      <c r="I81" s="32">
        <f t="shared" ref="I81:K81" si="97">SUM(I73:I80)</f>
        <v>4</v>
      </c>
      <c r="J81" s="32">
        <f t="shared" si="97"/>
        <v>1</v>
      </c>
      <c r="K81" s="32">
        <f t="shared" si="97"/>
        <v>0</v>
      </c>
      <c r="L81" s="32">
        <f t="shared" ref="L81" si="98">SUM(I81:K81)</f>
        <v>5</v>
      </c>
      <c r="M81" s="33">
        <f>IFERROR(SUM(I81:K81)/D81,0)</f>
        <v>0.14705882352941177</v>
      </c>
      <c r="N81" s="32">
        <f>SUM(N73:N80)</f>
        <v>11</v>
      </c>
      <c r="O81" s="33">
        <f>IFERROR(N81/D81,0)</f>
        <v>0.3235294117647059</v>
      </c>
      <c r="P81" s="79"/>
    </row>
    <row r="82" spans="2:16" x14ac:dyDescent="0.15">
      <c r="C82" s="81" t="s">
        <v>66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27"/>
    </row>
    <row r="83" spans="2:16" ht="16" x14ac:dyDescent="0.2">
      <c r="B83" s="8" t="s">
        <v>146</v>
      </c>
      <c r="C83" s="18" t="str">
        <f>IFERROR(VLOOKUP(B83,WORKSHEET!$O$4:$AM$60,8,FALSE),"")</f>
        <v>Porsche Stevens Creek</v>
      </c>
      <c r="D83" s="19">
        <f>IF(C83="","",VLOOKUP(B83,WORKSHEET!$O$4:$AM$60,9,FALSE))</f>
        <v>16</v>
      </c>
      <c r="E83" s="20">
        <f>IF(C83="","",VLOOKUP(B83,WORKSHEET!$O$4:$AM$60,10,FALSE))</f>
        <v>1</v>
      </c>
      <c r="F83" s="29">
        <f t="shared" ref="F83:F84" si="99">IF(C83="","",IFERROR(E83/D83,0))</f>
        <v>6.25E-2</v>
      </c>
      <c r="G83" s="19">
        <f>IF(C83="","",VLOOKUP(B83,WORKSHEET!$O$4:$AM$60,16,FALSE))</f>
        <v>13</v>
      </c>
      <c r="H83" s="21">
        <f t="shared" ref="H83:H84" si="100">IF(C83="","",IFERROR(G83/D83,0))</f>
        <v>0.8125</v>
      </c>
      <c r="I83" s="20">
        <f>IF(C83="","",VLOOKUP(B83,WORKSHEET!$O$4:$AM$60,18,FALSE))</f>
        <v>2</v>
      </c>
      <c r="J83" s="19">
        <f>IF(C83="","",VLOOKUP(B83,WORKSHEET!$O$4:$AM$60,19,FALSE))</f>
        <v>0</v>
      </c>
      <c r="K83" s="19">
        <f>IF(C83="","",VLOOKUP(B83,WORKSHEET!$O$4:$AM$60,20,FALSE))</f>
        <v>0</v>
      </c>
      <c r="L83" s="19">
        <f t="shared" ref="L83:L84" si="101">IF(C83="","",SUM(I83:K83))</f>
        <v>2</v>
      </c>
      <c r="M83" s="22">
        <f t="shared" ref="M83:M84" si="102">IF(C83="","",IFERROR(SUM(I83:K83)/D83,0))</f>
        <v>0.125</v>
      </c>
      <c r="N83" s="23">
        <f>IF(C83="","",VLOOKUP(B83,WORKSHEET!$O$4:$AM$60,22,FALSE)+VLOOKUP(B83,WORKSHEET!$O$4:$AM$60,23,FALSE)+VLOOKUP(B83,WORKSHEET!$O$4:$AM$60,24,FALSE))</f>
        <v>1</v>
      </c>
      <c r="O83" s="22">
        <f t="shared" ref="O83:O84" si="103">IF(C83="","",IFERROR(N83/D83,0))</f>
        <v>6.25E-2</v>
      </c>
      <c r="P83" s="79">
        <v>0.6</v>
      </c>
    </row>
    <row r="84" spans="2:16" ht="16" x14ac:dyDescent="0.2">
      <c r="B84" s="8" t="s">
        <v>145</v>
      </c>
      <c r="C84" s="18" t="str">
        <f>IFERROR(VLOOKUP(B84,WORKSHEET!$O$4:$AM$60,8,FALSE),"")</f>
        <v>Porsche North Scottsdale</v>
      </c>
      <c r="D84" s="19">
        <f>IF(C84="","",VLOOKUP(B84,WORKSHEET!$O$4:$AM$60,9,FALSE))</f>
        <v>2</v>
      </c>
      <c r="E84" s="20">
        <f>IF(C84="","",VLOOKUP(B84,WORKSHEET!$O$4:$AM$60,10,FALSE))</f>
        <v>0</v>
      </c>
      <c r="F84" s="29">
        <f t="shared" si="99"/>
        <v>0</v>
      </c>
      <c r="G84" s="19">
        <f>IF(C84="","",VLOOKUP(B84,WORKSHEET!$O$4:$AM$60,16,FALSE))</f>
        <v>0</v>
      </c>
      <c r="H84" s="21">
        <f t="shared" si="100"/>
        <v>0</v>
      </c>
      <c r="I84" s="20">
        <f>IF(C84="","",VLOOKUP(B84,WORKSHEET!$O$4:$AM$60,18,FALSE))</f>
        <v>0</v>
      </c>
      <c r="J84" s="19">
        <f>IF(C84="","",VLOOKUP(B84,WORKSHEET!$O$4:$AM$60,19,FALSE))</f>
        <v>0</v>
      </c>
      <c r="K84" s="19">
        <f>IF(C84="","",VLOOKUP(B84,WORKSHEET!$O$4:$AM$60,20,FALSE))</f>
        <v>2</v>
      </c>
      <c r="L84" s="19">
        <f t="shared" si="101"/>
        <v>2</v>
      </c>
      <c r="M84" s="22">
        <f t="shared" si="102"/>
        <v>1</v>
      </c>
      <c r="N84" s="23">
        <f>IF(C84="","",VLOOKUP(B84,WORKSHEET!$O$4:$AM$60,22,FALSE)+VLOOKUP(B84,WORKSHEET!$O$4:$AM$60,23,FALSE)+VLOOKUP(B84,WORKSHEET!$O$4:$AM$60,24,FALSE))</f>
        <v>0</v>
      </c>
      <c r="O84" s="22">
        <f t="shared" si="103"/>
        <v>0</v>
      </c>
      <c r="P84" s="79"/>
    </row>
    <row r="85" spans="2:16" s="8" customFormat="1" ht="16" x14ac:dyDescent="0.2">
      <c r="C85" s="30" t="s">
        <v>71</v>
      </c>
      <c r="D85" s="31">
        <f>SUM(D83:D84)</f>
        <v>18</v>
      </c>
      <c r="E85" s="32">
        <f>SUM(E83:E84)</f>
        <v>1</v>
      </c>
      <c r="F85" s="29">
        <f>IFERROR(E85/D85,0)</f>
        <v>5.5555555555555552E-2</v>
      </c>
      <c r="G85" s="32">
        <f>SUM(G83:G84)</f>
        <v>13</v>
      </c>
      <c r="H85" s="21">
        <f>IFERROR(G85/D85,0)</f>
        <v>0.72222222222222221</v>
      </c>
      <c r="I85" s="32">
        <f t="shared" ref="I85" si="104">SUM(I83:I84)</f>
        <v>2</v>
      </c>
      <c r="J85" s="32">
        <f t="shared" ref="J85" si="105">SUM(J83:J84)</f>
        <v>0</v>
      </c>
      <c r="K85" s="32">
        <f t="shared" ref="K85" si="106">SUM(K83:K84)</f>
        <v>2</v>
      </c>
      <c r="L85" s="32">
        <f t="shared" ref="L85" si="107">SUM(I85:K85)</f>
        <v>4</v>
      </c>
      <c r="M85" s="33">
        <f>IFERROR(SUM(I85:K85)/D85,0)</f>
        <v>0.22222222222222221</v>
      </c>
      <c r="N85" s="32">
        <f>SUM(N83:N84)</f>
        <v>1</v>
      </c>
      <c r="O85" s="33">
        <f>IFERROR(N85/D85,0)</f>
        <v>5.5555555555555552E-2</v>
      </c>
      <c r="P85" s="79"/>
    </row>
    <row r="86" spans="2:16" x14ac:dyDescent="0.15">
      <c r="C86" s="81" t="s">
        <v>67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27"/>
    </row>
    <row r="87" spans="2:16" ht="16" x14ac:dyDescent="0.2">
      <c r="B87" s="8" t="s">
        <v>150</v>
      </c>
      <c r="C87" s="18" t="str">
        <f>IFERROR(VLOOKUP(B87,WORKSHEET!$O$4:$AM$60,8,FALSE),"")</f>
        <v>Scottsdale Ferrari Maserati</v>
      </c>
      <c r="D87" s="19">
        <f>IF(C87="","",VLOOKUP(B87,WORKSHEET!$O$4:$AM$60,9,FALSE))</f>
        <v>5</v>
      </c>
      <c r="E87" s="20">
        <f>IF(C87="","",VLOOKUP(B87,WORKSHEET!$O$4:$AM$60,10,FALSE))</f>
        <v>0</v>
      </c>
      <c r="F87" s="29">
        <f>IF(C87="","",IFERROR(E87/D87,0))</f>
        <v>0</v>
      </c>
      <c r="G87" s="19">
        <f>IF(C87="","",VLOOKUP(B87,WORKSHEET!$O$4:$AM$60,16,FALSE))</f>
        <v>2</v>
      </c>
      <c r="H87" s="21">
        <f>IF(C87="","",IFERROR(G87/D87,0))</f>
        <v>0.4</v>
      </c>
      <c r="I87" s="20">
        <f>IF(C87="","",VLOOKUP(B87,WORKSHEET!$O$4:$AM$60,18,FALSE))</f>
        <v>0</v>
      </c>
      <c r="J87" s="19">
        <f>IF(C87="","",VLOOKUP(B87,WORKSHEET!$O$4:$AM$60,19,FALSE))</f>
        <v>1</v>
      </c>
      <c r="K87" s="19">
        <f>IF(C87="","",VLOOKUP(B87,WORKSHEET!$O$4:$AM$60,20,FALSE))</f>
        <v>1</v>
      </c>
      <c r="L87" s="19">
        <f>IF(C87="","",SUM(I87:K87))</f>
        <v>2</v>
      </c>
      <c r="M87" s="22">
        <f>IF(C87="","",IFERROR(SUM(I87:K87)/D87,0))</f>
        <v>0.4</v>
      </c>
      <c r="N87" s="23">
        <f>IF(C87="","",VLOOKUP(B87,WORKSHEET!$O$4:$AM$60,22,FALSE)+VLOOKUP(B87,WORKSHEET!$O$4:$AM$60,23,FALSE)+VLOOKUP(B87,WORKSHEET!$O$4:$AM$60,24,FALSE))</f>
        <v>1</v>
      </c>
      <c r="O87" s="22">
        <f>IF(C87="","",IFERROR(N87/D87,0))</f>
        <v>0.2</v>
      </c>
      <c r="P87" s="34"/>
    </row>
    <row r="88" spans="2:16" s="8" customFormat="1" ht="16" x14ac:dyDescent="0.2">
      <c r="C88" s="30" t="s">
        <v>71</v>
      </c>
      <c r="D88" s="31">
        <f>SUM(D87)</f>
        <v>5</v>
      </c>
      <c r="E88" s="32">
        <f>SUM(E87)</f>
        <v>0</v>
      </c>
      <c r="F88" s="29">
        <f>IFERROR(E88/D88,0)</f>
        <v>0</v>
      </c>
      <c r="G88" s="32">
        <f>SUM(G87)</f>
        <v>2</v>
      </c>
      <c r="H88" s="21">
        <f>IFERROR(G88/D88,0)</f>
        <v>0.4</v>
      </c>
      <c r="I88" s="32">
        <f t="shared" ref="I88" si="108">SUM(I87)</f>
        <v>0</v>
      </c>
      <c r="J88" s="32">
        <f t="shared" ref="J88" si="109">SUM(J87)</f>
        <v>1</v>
      </c>
      <c r="K88" s="32">
        <f t="shared" ref="K88" si="110">SUM(K87)</f>
        <v>1</v>
      </c>
      <c r="L88" s="32">
        <f t="shared" ref="L88" si="111">SUM(I88:K88)</f>
        <v>2</v>
      </c>
      <c r="M88" s="33">
        <f>IFERROR(SUM(I88:K88)/D88,0)</f>
        <v>0.4</v>
      </c>
      <c r="N88" s="32">
        <f>SUM(N87)</f>
        <v>1</v>
      </c>
      <c r="O88" s="33">
        <f>IFERROR(N88/D88,0)</f>
        <v>0.2</v>
      </c>
      <c r="P88" s="35"/>
    </row>
    <row r="89" spans="2:16" x14ac:dyDescent="0.15">
      <c r="C89" s="81" t="s">
        <v>68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27"/>
    </row>
    <row r="90" spans="2:16" ht="15" customHeight="1" x14ac:dyDescent="0.2">
      <c r="B90" s="8" t="s">
        <v>151</v>
      </c>
      <c r="C90" s="18" t="str">
        <f>IFERROR(VLOOKUP(B90,WORKSHEET!$O$4:$AM$60,8,FALSE),"")</f>
        <v>Subaru Orange Coast</v>
      </c>
      <c r="D90" s="19">
        <f>IF(C90="","",VLOOKUP(B90,WORKSHEET!$O$4:$AM$60,9,FALSE))</f>
        <v>4</v>
      </c>
      <c r="E90" s="20">
        <f>IF(C90="","",VLOOKUP(B90,WORKSHEET!$O$4:$AM$60,10,FALSE))</f>
        <v>0</v>
      </c>
      <c r="F90" s="29">
        <f>IF(C90="","",IFERROR(E90/D90,0))</f>
        <v>0</v>
      </c>
      <c r="G90" s="19">
        <f>IF(C90="","",VLOOKUP(B90,WORKSHEET!$O$4:$AM$60,16,FALSE))</f>
        <v>3</v>
      </c>
      <c r="H90" s="21">
        <f>IF(C90="","",IFERROR(G90/D90,0))</f>
        <v>0.75</v>
      </c>
      <c r="I90" s="20">
        <f>IF(C90="","",VLOOKUP(B90,WORKSHEET!$O$4:$AM$60,18,FALSE))</f>
        <v>0</v>
      </c>
      <c r="J90" s="19">
        <f>IF(C90="","",VLOOKUP(B90,WORKSHEET!$O$4:$AM$60,19,FALSE))</f>
        <v>0</v>
      </c>
      <c r="K90" s="19">
        <f>IF(C90="","",VLOOKUP(B90,WORKSHEET!$O$4:$AM$60,20,FALSE))</f>
        <v>0</v>
      </c>
      <c r="L90" s="19">
        <f>IF(C90="","",SUM(I90:K90))</f>
        <v>0</v>
      </c>
      <c r="M90" s="22">
        <f>IF(C90="","",IFERROR(SUM(I90:K90)/D90,0))</f>
        <v>0</v>
      </c>
      <c r="N90" s="23">
        <f>IF(C90="","",VLOOKUP(B90,WORKSHEET!$O$4:$AM$60,22,FALSE)+VLOOKUP(B90,WORKSHEET!$O$4:$AM$60,23,FALSE)+VLOOKUP(B90,WORKSHEET!$O$4:$AM$60,24,FALSE))</f>
        <v>1</v>
      </c>
      <c r="O90" s="22">
        <f>IF(C90="","",IFERROR(N90/D90,0))</f>
        <v>0.25</v>
      </c>
      <c r="P90" s="79">
        <v>0.52</v>
      </c>
    </row>
    <row r="91" spans="2:16" s="8" customFormat="1" ht="15" customHeight="1" x14ac:dyDescent="0.2">
      <c r="C91" s="30" t="s">
        <v>71</v>
      </c>
      <c r="D91" s="31">
        <f>SUM(D90)</f>
        <v>4</v>
      </c>
      <c r="E91" s="32">
        <f>SUM(E90)</f>
        <v>0</v>
      </c>
      <c r="F91" s="29">
        <f>IFERROR(E91/D91,0)</f>
        <v>0</v>
      </c>
      <c r="G91" s="32">
        <f>SUM(G90)</f>
        <v>3</v>
      </c>
      <c r="H91" s="21">
        <f>IFERROR(G91/D91,0)</f>
        <v>0.75</v>
      </c>
      <c r="I91" s="32">
        <f t="shared" ref="I91" si="112">SUM(I90)</f>
        <v>0</v>
      </c>
      <c r="J91" s="32">
        <f t="shared" ref="J91" si="113">SUM(J90)</f>
        <v>0</v>
      </c>
      <c r="K91" s="32">
        <f t="shared" ref="K91" si="114">SUM(K90)</f>
        <v>0</v>
      </c>
      <c r="L91" s="32">
        <f t="shared" ref="L91" si="115">SUM(I91:K91)</f>
        <v>0</v>
      </c>
      <c r="M91" s="33">
        <f>IFERROR(SUM(I91:K91)/D91,0)</f>
        <v>0</v>
      </c>
      <c r="N91" s="32">
        <f>SUM(N90)</f>
        <v>1</v>
      </c>
      <c r="O91" s="33">
        <f>IFERROR(N91/D91,0)</f>
        <v>0.25</v>
      </c>
      <c r="P91" s="79"/>
    </row>
    <row r="92" spans="2:16" x14ac:dyDescent="0.15">
      <c r="C92" s="81" t="s">
        <v>69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27"/>
    </row>
    <row r="93" spans="2:16" ht="16" x14ac:dyDescent="0.2">
      <c r="B93" s="8" t="s">
        <v>126</v>
      </c>
      <c r="C93" s="18" t="str">
        <f>IFERROR(VLOOKUP(B93,WORKSHEET!$O$4:$AM$60,8,FALSE),"")</f>
        <v>Toyota of Pharr</v>
      </c>
      <c r="D93" s="19">
        <f>IF(C93="","",VLOOKUP(B93,WORKSHEET!$O$4:$AM$60,9,FALSE))</f>
        <v>44</v>
      </c>
      <c r="E93" s="20">
        <f>IF(C93="","",VLOOKUP(B93,WORKSHEET!$O$4:$AM$60,10,FALSE))</f>
        <v>12</v>
      </c>
      <c r="F93" s="29">
        <f t="shared" ref="F93:F97" si="116">IF(C93="","",IFERROR(E93/D93,0))</f>
        <v>0.27272727272727271</v>
      </c>
      <c r="G93" s="19">
        <f>IF(C93="","",VLOOKUP(B93,WORKSHEET!$O$4:$AM$60,16,FALSE))</f>
        <v>38</v>
      </c>
      <c r="H93" s="21">
        <f t="shared" ref="H93:H97" si="117">IF(C93="","",IFERROR(G93/D93,0))</f>
        <v>0.86363636363636365</v>
      </c>
      <c r="I93" s="20">
        <f>IF(C93="","",VLOOKUP(B93,WORKSHEET!$O$4:$AM$60,18,FALSE))</f>
        <v>0</v>
      </c>
      <c r="J93" s="19">
        <f>IF(C93="","",VLOOKUP(B93,WORKSHEET!$O$4:$AM$60,19,FALSE))</f>
        <v>1</v>
      </c>
      <c r="K93" s="19">
        <f>IF(C93="","",VLOOKUP(B93,WORKSHEET!$O$4:$AM$60,20,FALSE))</f>
        <v>0</v>
      </c>
      <c r="L93" s="19">
        <f t="shared" ref="L93:L97" si="118">IF(C93="","",SUM(I93:K93))</f>
        <v>1</v>
      </c>
      <c r="M93" s="22">
        <f t="shared" ref="M93:M97" si="119">IF(C93="","",IFERROR(SUM(I93:K93)/D93,0))</f>
        <v>2.2727272727272728E-2</v>
      </c>
      <c r="N93" s="23">
        <f>IF(C93="","",VLOOKUP(B93,WORKSHEET!$O$4:$AM$60,22,FALSE)+VLOOKUP(B93,WORKSHEET!$O$4:$AM$60,23,FALSE)+VLOOKUP(B93,WORKSHEET!$O$4:$AM$60,24,FALSE))</f>
        <v>5</v>
      </c>
      <c r="O93" s="22">
        <f t="shared" ref="O93:O97" si="120">IF(C93="","",IFERROR(N93/D93,0))</f>
        <v>0.11363636363636363</v>
      </c>
      <c r="P93" s="79">
        <v>0.6</v>
      </c>
    </row>
    <row r="94" spans="2:16" ht="16" x14ac:dyDescent="0.2">
      <c r="B94" s="8" t="s">
        <v>153</v>
      </c>
      <c r="C94" s="18" t="str">
        <f>IFERROR(VLOOKUP(B94,WORKSHEET!$O$4:$AM$60,8,FALSE),"")</f>
        <v>Toyota of Surprise</v>
      </c>
      <c r="D94" s="19">
        <f>IF(C94="","",VLOOKUP(B94,WORKSHEET!$O$4:$AM$60,9,FALSE))</f>
        <v>8</v>
      </c>
      <c r="E94" s="20">
        <f>IF(C94="","",VLOOKUP(B94,WORKSHEET!$O$4:$AM$60,10,FALSE))</f>
        <v>2</v>
      </c>
      <c r="F94" s="29">
        <f t="shared" si="116"/>
        <v>0.25</v>
      </c>
      <c r="G94" s="19">
        <f>IF(C94="","",VLOOKUP(B94,WORKSHEET!$O$4:$AM$60,16,FALSE))</f>
        <v>2</v>
      </c>
      <c r="H94" s="21">
        <f t="shared" si="117"/>
        <v>0.25</v>
      </c>
      <c r="I94" s="20">
        <f>IF(C94="","",VLOOKUP(B94,WORKSHEET!$O$4:$AM$60,18,FALSE))</f>
        <v>3</v>
      </c>
      <c r="J94" s="19">
        <f>IF(C94="","",VLOOKUP(B94,WORKSHEET!$O$4:$AM$60,19,FALSE))</f>
        <v>0</v>
      </c>
      <c r="K94" s="19">
        <f>IF(C94="","",VLOOKUP(B94,WORKSHEET!$O$4:$AM$60,20,FALSE))</f>
        <v>0</v>
      </c>
      <c r="L94" s="19">
        <f t="shared" si="118"/>
        <v>3</v>
      </c>
      <c r="M94" s="22">
        <f t="shared" si="119"/>
        <v>0.375</v>
      </c>
      <c r="N94" s="23">
        <f>IF(C94="","",VLOOKUP(B94,WORKSHEET!$O$4:$AM$60,22,FALSE)+VLOOKUP(B94,WORKSHEET!$O$4:$AM$60,23,FALSE)+VLOOKUP(B94,WORKSHEET!$O$4:$AM$60,24,FALSE))</f>
        <v>3</v>
      </c>
      <c r="O94" s="22">
        <f t="shared" si="120"/>
        <v>0.375</v>
      </c>
      <c r="P94" s="79"/>
    </row>
    <row r="95" spans="2:16" ht="16" x14ac:dyDescent="0.2">
      <c r="B95" s="8" t="s">
        <v>154</v>
      </c>
      <c r="C95" s="18" t="str">
        <f>IFERROR(VLOOKUP(B95,WORKSHEET!$O$4:$AM$60,8,FALSE),"")</f>
        <v>Toyota of Clovis</v>
      </c>
      <c r="D95" s="19">
        <f>IF(C95="","",VLOOKUP(B95,WORKSHEET!$O$4:$AM$60,9,FALSE))</f>
        <v>9</v>
      </c>
      <c r="E95" s="20">
        <f>IF(C95="","",VLOOKUP(B95,WORKSHEET!$O$4:$AM$60,10,FALSE))</f>
        <v>2</v>
      </c>
      <c r="F95" s="29">
        <f t="shared" si="116"/>
        <v>0.22222222222222221</v>
      </c>
      <c r="G95" s="19">
        <f>IF(C95="","",VLOOKUP(B95,WORKSHEET!$O$4:$AM$60,16,FALSE))</f>
        <v>6</v>
      </c>
      <c r="H95" s="21">
        <f t="shared" si="117"/>
        <v>0.66666666666666663</v>
      </c>
      <c r="I95" s="20">
        <f>IF(C95="","",VLOOKUP(B95,WORKSHEET!$O$4:$AM$60,18,FALSE))</f>
        <v>1</v>
      </c>
      <c r="J95" s="19">
        <f>IF(C95="","",VLOOKUP(B95,WORKSHEET!$O$4:$AM$60,19,FALSE))</f>
        <v>0</v>
      </c>
      <c r="K95" s="19">
        <f>IF(C95="","",VLOOKUP(B95,WORKSHEET!$O$4:$AM$60,20,FALSE))</f>
        <v>0</v>
      </c>
      <c r="L95" s="19">
        <f t="shared" si="118"/>
        <v>1</v>
      </c>
      <c r="M95" s="22">
        <f t="shared" si="119"/>
        <v>0.1111111111111111</v>
      </c>
      <c r="N95" s="23">
        <f>IF(C95="","",VLOOKUP(B95,WORKSHEET!$O$4:$AM$60,22,FALSE)+VLOOKUP(B95,WORKSHEET!$O$4:$AM$60,23,FALSE)+VLOOKUP(B95,WORKSHEET!$O$4:$AM$60,24,FALSE))</f>
        <v>2</v>
      </c>
      <c r="O95" s="22">
        <f t="shared" si="120"/>
        <v>0.22222222222222221</v>
      </c>
      <c r="P95" s="79"/>
    </row>
    <row r="96" spans="2:16" ht="16" x14ac:dyDescent="0.2">
      <c r="B96" s="8" t="s">
        <v>155</v>
      </c>
      <c r="C96" s="18" t="str">
        <f>IFERROR(VLOOKUP(B96,WORKSHEET!$O$4:$AM$60,8,FALSE),"")</f>
        <v>Kearny Mesa Toyota</v>
      </c>
      <c r="D96" s="19">
        <f>IF(C96="","",VLOOKUP(B96,WORKSHEET!$O$4:$AM$60,9,FALSE))</f>
        <v>7</v>
      </c>
      <c r="E96" s="20">
        <f>IF(C96="","",VLOOKUP(B96,WORKSHEET!$O$4:$AM$60,10,FALSE))</f>
        <v>1</v>
      </c>
      <c r="F96" s="29">
        <f t="shared" si="116"/>
        <v>0.14285714285714285</v>
      </c>
      <c r="G96" s="19">
        <f>IF(C96="","",VLOOKUP(B96,WORKSHEET!$O$4:$AM$60,16,FALSE))</f>
        <v>5</v>
      </c>
      <c r="H96" s="21">
        <f t="shared" si="117"/>
        <v>0.7142857142857143</v>
      </c>
      <c r="I96" s="20">
        <f>IF(C96="","",VLOOKUP(B96,WORKSHEET!$O$4:$AM$60,18,FALSE))</f>
        <v>2</v>
      </c>
      <c r="J96" s="19">
        <f>IF(C96="","",VLOOKUP(B96,WORKSHEET!$O$4:$AM$60,19,FALSE))</f>
        <v>0</v>
      </c>
      <c r="K96" s="19">
        <f>IF(C96="","",VLOOKUP(B96,WORKSHEET!$O$4:$AM$60,20,FALSE))</f>
        <v>0</v>
      </c>
      <c r="L96" s="19">
        <f t="shared" si="118"/>
        <v>2</v>
      </c>
      <c r="M96" s="22">
        <f t="shared" si="119"/>
        <v>0.2857142857142857</v>
      </c>
      <c r="N96" s="23">
        <f>IF(C96="","",VLOOKUP(B96,WORKSHEET!$O$4:$AM$60,22,FALSE)+VLOOKUP(B96,WORKSHEET!$O$4:$AM$60,23,FALSE)+VLOOKUP(B96,WORKSHEET!$O$4:$AM$60,24,FALSE))</f>
        <v>0</v>
      </c>
      <c r="O96" s="22">
        <f t="shared" si="120"/>
        <v>0</v>
      </c>
      <c r="P96" s="79"/>
    </row>
    <row r="97" spans="2:16" ht="16" x14ac:dyDescent="0.2">
      <c r="B97" s="8" t="s">
        <v>149</v>
      </c>
      <c r="C97" s="18" t="str">
        <f>IFERROR(VLOOKUP(B97,WORKSHEET!$O$4:$AM$60,8,FALSE),"")</f>
        <v>Round Rock Toyota</v>
      </c>
      <c r="D97" s="19">
        <f>IF(C97="","",VLOOKUP(B97,WORKSHEET!$O$4:$AM$60,9,FALSE))</f>
        <v>4</v>
      </c>
      <c r="E97" s="20">
        <f>IF(C97="","",VLOOKUP(B97,WORKSHEET!$O$4:$AM$60,10,FALSE))</f>
        <v>0</v>
      </c>
      <c r="F97" s="29">
        <f t="shared" si="116"/>
        <v>0</v>
      </c>
      <c r="G97" s="19">
        <f>IF(C97="","",VLOOKUP(B97,WORKSHEET!$O$4:$AM$60,16,FALSE))</f>
        <v>1</v>
      </c>
      <c r="H97" s="21">
        <f t="shared" si="117"/>
        <v>0.25</v>
      </c>
      <c r="I97" s="20">
        <f>IF(C97="","",VLOOKUP(B97,WORKSHEET!$O$4:$AM$60,18,FALSE))</f>
        <v>0</v>
      </c>
      <c r="J97" s="19">
        <f>IF(C97="","",VLOOKUP(B97,WORKSHEET!$O$4:$AM$60,19,FALSE))</f>
        <v>0</v>
      </c>
      <c r="K97" s="19">
        <f>IF(C97="","",VLOOKUP(B97,WORKSHEET!$O$4:$AM$60,20,FALSE))</f>
        <v>0</v>
      </c>
      <c r="L97" s="19">
        <f t="shared" si="118"/>
        <v>0</v>
      </c>
      <c r="M97" s="22">
        <f t="shared" si="119"/>
        <v>0</v>
      </c>
      <c r="N97" s="23">
        <f>IF(C97="","",VLOOKUP(B97,WORKSHEET!$O$4:$AM$60,22,FALSE)+VLOOKUP(B97,WORKSHEET!$O$4:$AM$60,23,FALSE)+VLOOKUP(B97,WORKSHEET!$O$4:$AM$60,24,FALSE))</f>
        <v>3</v>
      </c>
      <c r="O97" s="22">
        <f t="shared" si="120"/>
        <v>0.75</v>
      </c>
      <c r="P97" s="79"/>
    </row>
    <row r="98" spans="2:16" s="8" customFormat="1" ht="16" x14ac:dyDescent="0.2">
      <c r="C98" s="30" t="s">
        <v>71</v>
      </c>
      <c r="D98" s="31">
        <f>SUM(D93:D97)</f>
        <v>72</v>
      </c>
      <c r="E98" s="32">
        <f>SUM(E93:E97)</f>
        <v>17</v>
      </c>
      <c r="F98" s="29">
        <f>IFERROR(E98/D98,0)</f>
        <v>0.2361111111111111</v>
      </c>
      <c r="G98" s="32">
        <f>SUM(G93:G97)</f>
        <v>52</v>
      </c>
      <c r="H98" s="21">
        <f>IFERROR(G98/D98,0)</f>
        <v>0.72222222222222221</v>
      </c>
      <c r="I98" s="32">
        <f t="shared" ref="I98" si="121">SUM(I93:I97)</f>
        <v>6</v>
      </c>
      <c r="J98" s="32">
        <f t="shared" ref="J98" si="122">SUM(J93:J97)</f>
        <v>1</v>
      </c>
      <c r="K98" s="32">
        <f t="shared" ref="K98" si="123">SUM(K93:K97)</f>
        <v>0</v>
      </c>
      <c r="L98" s="32">
        <f t="shared" ref="L98" si="124">SUM(I98:K98)</f>
        <v>7</v>
      </c>
      <c r="M98" s="33">
        <f>IFERROR(SUM(I98:K98)/D98,0)</f>
        <v>9.7222222222222224E-2</v>
      </c>
      <c r="N98" s="32">
        <f>SUM(N93:N97)</f>
        <v>13</v>
      </c>
      <c r="O98" s="33">
        <f>IFERROR(N98/D98,0)</f>
        <v>0.18055555555555555</v>
      </c>
      <c r="P98" s="79"/>
    </row>
    <row r="99" spans="2:16" x14ac:dyDescent="0.15">
      <c r="C99" s="81" t="s">
        <v>70</v>
      </c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27"/>
    </row>
    <row r="100" spans="2:16" ht="16" x14ac:dyDescent="0.2">
      <c r="B100" s="8" t="s">
        <v>156</v>
      </c>
      <c r="C100" s="18" t="str">
        <f>IFERROR(VLOOKUP(B100,WORKSHEET!$O$4:$AM$60,8,FALSE),"")</f>
        <v>Volkswagen North Scottsdale</v>
      </c>
      <c r="D100" s="19">
        <f>IF(C100="","",VLOOKUP(B100,WORKSHEET!$O$4:$AM$60,9,FALSE))</f>
        <v>16</v>
      </c>
      <c r="E100" s="20">
        <f>IF(C100="","",VLOOKUP(B100,WORKSHEET!$O$4:$AM$60,10,FALSE))</f>
        <v>3</v>
      </c>
      <c r="F100" s="29">
        <f t="shared" ref="F100:F101" si="125">IF(C100="","",IFERROR(E100/D100,0))</f>
        <v>0.1875</v>
      </c>
      <c r="G100" s="19">
        <f>IF(C100="","",VLOOKUP(B100,WORKSHEET!$O$4:$AM$60,16,FALSE))</f>
        <v>6</v>
      </c>
      <c r="H100" s="21">
        <f t="shared" ref="H100:H101" si="126">IF(C100="","",IFERROR(G100/D100,0))</f>
        <v>0.375</v>
      </c>
      <c r="I100" s="20">
        <f>IF(C100="","",VLOOKUP(B100,WORKSHEET!$O$4:$AM$60,18,FALSE))</f>
        <v>0</v>
      </c>
      <c r="J100" s="19">
        <f>IF(C100="","",VLOOKUP(B100,WORKSHEET!$O$4:$AM$60,19,FALSE))</f>
        <v>0</v>
      </c>
      <c r="K100" s="19">
        <f>IF(C100="","",VLOOKUP(B100,WORKSHEET!$O$4:$AM$60,20,FALSE))</f>
        <v>0</v>
      </c>
      <c r="L100" s="19">
        <f t="shared" ref="L100:L101" si="127">IF(C100="","",SUM(I100:K100))</f>
        <v>0</v>
      </c>
      <c r="M100" s="22">
        <f t="shared" ref="M100:M101" si="128">IF(C100="","",IFERROR(SUM(I100:K100)/D100,0))</f>
        <v>0</v>
      </c>
      <c r="N100" s="23">
        <f>IF(C100="","",VLOOKUP(B100,WORKSHEET!$O$4:$AM$60,22,FALSE)+VLOOKUP(B100,WORKSHEET!$O$4:$AM$60,23,FALSE)+VLOOKUP(B100,WORKSHEET!$O$4:$AM$60,24,FALSE))</f>
        <v>10</v>
      </c>
      <c r="O100" s="22">
        <f t="shared" ref="O100:O101" si="129">IF(C100="","",IFERROR(N100/D100,0))</f>
        <v>0.625</v>
      </c>
      <c r="P100" s="79">
        <v>0.54</v>
      </c>
    </row>
    <row r="101" spans="2:16" ht="16" x14ac:dyDescent="0.2">
      <c r="B101" s="8" t="s">
        <v>157</v>
      </c>
      <c r="C101" s="18" t="str">
        <f>IFERROR(VLOOKUP(B101,WORKSHEET!$O$4:$AM$60,8,FALSE),"")</f>
        <v>Volkswagen South Coast</v>
      </c>
      <c r="D101" s="19">
        <f>IF(C101="","",VLOOKUP(B101,WORKSHEET!$O$4:$AM$60,9,FALSE))</f>
        <v>39</v>
      </c>
      <c r="E101" s="20">
        <f>IF(C101="","",VLOOKUP(B101,WORKSHEET!$O$4:$AM$60,10,FALSE))</f>
        <v>2</v>
      </c>
      <c r="F101" s="29">
        <f t="shared" si="125"/>
        <v>5.128205128205128E-2</v>
      </c>
      <c r="G101" s="19">
        <f>IF(C101="","",VLOOKUP(B101,WORKSHEET!$O$4:$AM$60,16,FALSE))</f>
        <v>22</v>
      </c>
      <c r="H101" s="21">
        <f t="shared" si="126"/>
        <v>0.5641025641025641</v>
      </c>
      <c r="I101" s="20">
        <f>IF(C101="","",VLOOKUP(B101,WORKSHEET!$O$4:$AM$60,18,FALSE))</f>
        <v>0</v>
      </c>
      <c r="J101" s="19">
        <f>IF(C101="","",VLOOKUP(B101,WORKSHEET!$O$4:$AM$60,19,FALSE))</f>
        <v>0</v>
      </c>
      <c r="K101" s="19">
        <f>IF(C101="","",VLOOKUP(B101,WORKSHEET!$O$4:$AM$60,20,FALSE))</f>
        <v>0</v>
      </c>
      <c r="L101" s="19">
        <f t="shared" si="127"/>
        <v>0</v>
      </c>
      <c r="M101" s="22">
        <f t="shared" si="128"/>
        <v>0</v>
      </c>
      <c r="N101" s="23">
        <f>IF(C101="","",VLOOKUP(B101,WORKSHEET!$O$4:$AM$60,22,FALSE)+VLOOKUP(B101,WORKSHEET!$O$4:$AM$60,23,FALSE)+VLOOKUP(B101,WORKSHEET!$O$4:$AM$60,24,FALSE))</f>
        <v>17</v>
      </c>
      <c r="O101" s="22">
        <f t="shared" si="129"/>
        <v>0.4358974358974359</v>
      </c>
      <c r="P101" s="79"/>
    </row>
    <row r="102" spans="2:16" s="8" customFormat="1" ht="17" thickBot="1" x14ac:dyDescent="0.25">
      <c r="C102" s="30" t="s">
        <v>71</v>
      </c>
      <c r="D102" s="31">
        <f>SUM(D100:D101)</f>
        <v>55</v>
      </c>
      <c r="E102" s="32">
        <f>SUM(E100:E101)</f>
        <v>5</v>
      </c>
      <c r="F102" s="29">
        <f>IFERROR(E102/D102,0)</f>
        <v>9.0909090909090912E-2</v>
      </c>
      <c r="G102" s="32">
        <f>SUM(G100:G101)</f>
        <v>28</v>
      </c>
      <c r="H102" s="21">
        <f>IFERROR(G102/D102,0)</f>
        <v>0.50909090909090904</v>
      </c>
      <c r="I102" s="32">
        <f t="shared" ref="I102" si="130">SUM(I100:I101)</f>
        <v>0</v>
      </c>
      <c r="J102" s="32">
        <f t="shared" ref="J102" si="131">SUM(J100:J101)</f>
        <v>0</v>
      </c>
      <c r="K102" s="32">
        <f t="shared" ref="K102" si="132">SUM(K100:K101)</f>
        <v>0</v>
      </c>
      <c r="L102" s="32">
        <f t="shared" ref="L102" si="133">SUM(I102:K102)</f>
        <v>0</v>
      </c>
      <c r="M102" s="33">
        <f>IFERROR(SUM(I102:K102)/D102,0)</f>
        <v>0</v>
      </c>
      <c r="N102" s="32">
        <f>SUM(N100:N101)</f>
        <v>27</v>
      </c>
      <c r="O102" s="33">
        <f>IFERROR(N102/D102,0)</f>
        <v>0.49090909090909091</v>
      </c>
      <c r="P102" s="79"/>
    </row>
    <row r="103" spans="2:16" s="40" customFormat="1" ht="20" customHeight="1" thickTop="1" x14ac:dyDescent="0.2">
      <c r="C103" s="36" t="s">
        <v>72</v>
      </c>
      <c r="D103" s="37">
        <f>SUM(D102,D98,D91,D88,D85,D81,D71,D66,D63,D60,D54,D47,D40,D32,D23,D20,D12,D43)</f>
        <v>1021</v>
      </c>
      <c r="E103" s="37">
        <f>SUM(E102,E98,E91,E88,E85,E81,E71,E66,E63,E60,E54,E47,E40,E32,E23,E20,E12,E43,E50)</f>
        <v>330</v>
      </c>
      <c r="F103" s="38">
        <f>IFERROR(E103/D103,0)</f>
        <v>0.32321253672869737</v>
      </c>
      <c r="G103" s="37">
        <f>SUM(G102,G98,G91,G88,G85,G81,G71,G66,G63,G60,G54,G47,G40,G32,G23,G20,G12,G43,G50)</f>
        <v>650</v>
      </c>
      <c r="H103" s="38">
        <f>IFERROR(G103/D103,0)</f>
        <v>0.63663075416258574</v>
      </c>
      <c r="I103" s="37">
        <f>SUM(I102,I98,I91,I88,I85,I81,I71,I66,I63,I60,I54,I47,I40,I32,I23,I20,I12)</f>
        <v>51</v>
      </c>
      <c r="J103" s="37">
        <f>SUM(J102,J98,J91,J88,J85,J81,J71,J66,J63,J60,J54,J47,J40,J32,J23,J20,J12)</f>
        <v>14</v>
      </c>
      <c r="K103" s="37">
        <f>SUM(K102,K98,K91,K88,K85,K81,K71,K66,K63,K60,K54,K47,K40,K32,K23,K20,K12)</f>
        <v>18</v>
      </c>
      <c r="L103" s="37">
        <f>SUM(L102,L98,L91,L88,L85,L81,L71,L66,L63,L60,L54,L47,L40,L32,L23,L20,L12,L43,L50)</f>
        <v>84</v>
      </c>
      <c r="M103" s="39">
        <f>IFERROR(SUM(I103:K103)/D103,0)</f>
        <v>8.1292850146914786E-2</v>
      </c>
      <c r="N103" s="37">
        <f>SUM(N102,N98,N91,N88,N85,N81,N71,N66,N63,N60,N54,N47,N40,N32,N23,N20,N12,N43,N50)</f>
        <v>288</v>
      </c>
      <c r="O103" s="39">
        <f>IFERROR(N103/D103,0)</f>
        <v>0.28207639569049953</v>
      </c>
      <c r="P103" s="41"/>
    </row>
  </sheetData>
  <sortState xmlns:xlrd2="http://schemas.microsoft.com/office/spreadsheetml/2017/richdata2" ref="B8:B61">
    <sortCondition ref="B8:B61"/>
  </sortState>
  <mergeCells count="43">
    <mergeCell ref="P49:P50"/>
    <mergeCell ref="P42:P43"/>
    <mergeCell ref="C5:D5"/>
    <mergeCell ref="G5:H5"/>
    <mergeCell ref="I5:M5"/>
    <mergeCell ref="N5:O5"/>
    <mergeCell ref="P5:P6"/>
    <mergeCell ref="C41:O41"/>
    <mergeCell ref="C99:O99"/>
    <mergeCell ref="C44:O44"/>
    <mergeCell ref="C51:O51"/>
    <mergeCell ref="C55:O55"/>
    <mergeCell ref="C61:O61"/>
    <mergeCell ref="C64:O64"/>
    <mergeCell ref="C67:O67"/>
    <mergeCell ref="C72:O72"/>
    <mergeCell ref="C82:O82"/>
    <mergeCell ref="C86:O86"/>
    <mergeCell ref="C89:O89"/>
    <mergeCell ref="C92:O92"/>
    <mergeCell ref="C48:O48"/>
    <mergeCell ref="P100:P102"/>
    <mergeCell ref="P68:P71"/>
    <mergeCell ref="P73:P81"/>
    <mergeCell ref="P83:P85"/>
    <mergeCell ref="P93:P98"/>
    <mergeCell ref="P90:P91"/>
    <mergeCell ref="C4:N4"/>
    <mergeCell ref="P56:P60"/>
    <mergeCell ref="P62:P63"/>
    <mergeCell ref="P65:P66"/>
    <mergeCell ref="P8:P12"/>
    <mergeCell ref="P14:P20"/>
    <mergeCell ref="P25:P32"/>
    <mergeCell ref="P34:P40"/>
    <mergeCell ref="P45:P47"/>
    <mergeCell ref="C7:O7"/>
    <mergeCell ref="C13:O13"/>
    <mergeCell ref="C21:O21"/>
    <mergeCell ref="C33:O33"/>
    <mergeCell ref="C24:O24"/>
    <mergeCell ref="E5:F5"/>
    <mergeCell ref="P52:P54"/>
  </mergeCells>
  <conditionalFormatting sqref="C42:O43 C49:O50 C8:O12 C14:O20 C22:O23 C25:O32 C34:O40 C45:O47 C52:O54 C56:O60 C62:O63 C65:O66 C68:O71 C73:O81 C83:O85 C87:O88 C90:O91 C93:O98 C100:O103">
    <cfRule type="cellIs" dxfId="72" priority="13" stopIfTrue="1" operator="equal">
      <formula>""</formula>
    </cfRule>
  </conditionalFormatting>
  <conditionalFormatting sqref="F8:F12">
    <cfRule type="cellIs" dxfId="71" priority="71" stopIfTrue="1" operator="greaterThanOrEqual">
      <formula>0.145</formula>
    </cfRule>
    <cfRule type="cellIs" dxfId="70" priority="72" stopIfTrue="1" operator="lessThan">
      <formula>0.095</formula>
    </cfRule>
    <cfRule type="cellIs" dxfId="69" priority="73" stopIfTrue="1" operator="between">
      <formula>0.095</formula>
      <formula>0.145</formula>
    </cfRule>
  </conditionalFormatting>
  <conditionalFormatting sqref="F14:F19 F22 F25:F31">
    <cfRule type="cellIs" dxfId="68" priority="19" stopIfTrue="1" operator="between">
      <formula>0.095</formula>
      <formula>0.145</formula>
    </cfRule>
    <cfRule type="cellIs" dxfId="67" priority="18" stopIfTrue="1" operator="lessThan">
      <formula>0.095</formula>
    </cfRule>
    <cfRule type="cellIs" dxfId="66" priority="17" stopIfTrue="1" operator="greaterThanOrEqual">
      <formula>0.145</formula>
    </cfRule>
  </conditionalFormatting>
  <conditionalFormatting sqref="F14:F20">
    <cfRule type="cellIs" dxfId="65" priority="68" stopIfTrue="1" operator="greaterThanOrEqual">
      <formula>0.145</formula>
    </cfRule>
    <cfRule type="cellIs" dxfId="64" priority="69" stopIfTrue="1" operator="lessThan">
      <formula>0.095</formula>
    </cfRule>
    <cfRule type="cellIs" dxfId="63" priority="70" stopIfTrue="1" operator="between">
      <formula>0.095</formula>
      <formula>0.145</formula>
    </cfRule>
  </conditionalFormatting>
  <conditionalFormatting sqref="F22:F23">
    <cfRule type="cellIs" dxfId="62" priority="65" stopIfTrue="1" operator="greaterThanOrEqual">
      <formula>0.145</formula>
    </cfRule>
    <cfRule type="cellIs" dxfId="61" priority="66" stopIfTrue="1" operator="lessThan">
      <formula>0.095</formula>
    </cfRule>
    <cfRule type="cellIs" dxfId="60" priority="67" stopIfTrue="1" operator="between">
      <formula>0.095</formula>
      <formula>0.145</formula>
    </cfRule>
  </conditionalFormatting>
  <conditionalFormatting sqref="F25:F32">
    <cfRule type="cellIs" dxfId="59" priority="64" stopIfTrue="1" operator="between">
      <formula>0.095</formula>
      <formula>0.145</formula>
    </cfRule>
    <cfRule type="cellIs" dxfId="58" priority="63" stopIfTrue="1" operator="lessThan">
      <formula>0.095</formula>
    </cfRule>
    <cfRule type="cellIs" dxfId="57" priority="62" stopIfTrue="1" operator="greaterThanOrEqual">
      <formula>0.145</formula>
    </cfRule>
  </conditionalFormatting>
  <conditionalFormatting sqref="F34:F39 F45:F46 F52:F53 F56:F59 F62 F65 F68:F70 F73:F80 F83:F84 F87 F90 F93:F97 F100:F101">
    <cfRule type="cellIs" dxfId="56" priority="14" stopIfTrue="1" operator="greaterThanOrEqual">
      <formula>0.145</formula>
    </cfRule>
    <cfRule type="cellIs" dxfId="55" priority="16" stopIfTrue="1" operator="between">
      <formula>0.095</formula>
      <formula>0.145</formula>
    </cfRule>
    <cfRule type="cellIs" dxfId="54" priority="15" stopIfTrue="1" operator="lessThan">
      <formula>0.095</formula>
    </cfRule>
  </conditionalFormatting>
  <conditionalFormatting sqref="F34:F40">
    <cfRule type="cellIs" dxfId="53" priority="61" stopIfTrue="1" operator="between">
      <formula>0.095</formula>
      <formula>0.145</formula>
    </cfRule>
    <cfRule type="cellIs" dxfId="52" priority="60" stopIfTrue="1" operator="lessThan">
      <formula>0.095</formula>
    </cfRule>
    <cfRule type="cellIs" dxfId="51" priority="59" stopIfTrue="1" operator="greaterThanOrEqual">
      <formula>0.145</formula>
    </cfRule>
  </conditionalFormatting>
  <conditionalFormatting sqref="F42">
    <cfRule type="cellIs" dxfId="50" priority="9" stopIfTrue="1" operator="between">
      <formula>0.095</formula>
      <formula>0.145</formula>
    </cfRule>
    <cfRule type="cellIs" dxfId="49" priority="8" stopIfTrue="1" operator="lessThan">
      <formula>0.095</formula>
    </cfRule>
    <cfRule type="cellIs" dxfId="48" priority="7" stopIfTrue="1" operator="greaterThanOrEqual">
      <formula>0.145</formula>
    </cfRule>
  </conditionalFormatting>
  <conditionalFormatting sqref="F42:F43">
    <cfRule type="cellIs" dxfId="47" priority="12" stopIfTrue="1" operator="between">
      <formula>0.095</formula>
      <formula>0.145</formula>
    </cfRule>
    <cfRule type="cellIs" dxfId="46" priority="11" stopIfTrue="1" operator="lessThan">
      <formula>0.095</formula>
    </cfRule>
    <cfRule type="cellIs" dxfId="45" priority="10" stopIfTrue="1" operator="greaterThanOrEqual">
      <formula>0.145</formula>
    </cfRule>
  </conditionalFormatting>
  <conditionalFormatting sqref="F45:F47">
    <cfRule type="cellIs" dxfId="44" priority="56" stopIfTrue="1" operator="greaterThanOrEqual">
      <formula>0.145</formula>
    </cfRule>
    <cfRule type="cellIs" dxfId="43" priority="58" stopIfTrue="1" operator="between">
      <formula>0.095</formula>
      <formula>0.145</formula>
    </cfRule>
    <cfRule type="cellIs" dxfId="42" priority="57" stopIfTrue="1" operator="lessThan">
      <formula>0.095</formula>
    </cfRule>
  </conditionalFormatting>
  <conditionalFormatting sqref="F49">
    <cfRule type="cellIs" dxfId="41" priority="3" stopIfTrue="1" operator="between">
      <formula>0.095</formula>
      <formula>0.145</formula>
    </cfRule>
    <cfRule type="cellIs" dxfId="40" priority="2" stopIfTrue="1" operator="lessThan">
      <formula>0.095</formula>
    </cfRule>
    <cfRule type="cellIs" dxfId="39" priority="1" stopIfTrue="1" operator="greaterThanOrEqual">
      <formula>0.145</formula>
    </cfRule>
  </conditionalFormatting>
  <conditionalFormatting sqref="F49:F50">
    <cfRule type="cellIs" dxfId="38" priority="6" stopIfTrue="1" operator="between">
      <formula>0.095</formula>
      <formula>0.145</formula>
    </cfRule>
    <cfRule type="cellIs" dxfId="37" priority="5" stopIfTrue="1" operator="lessThan">
      <formula>0.095</formula>
    </cfRule>
    <cfRule type="cellIs" dxfId="36" priority="4" stopIfTrue="1" operator="greaterThanOrEqual">
      <formula>0.145</formula>
    </cfRule>
  </conditionalFormatting>
  <conditionalFormatting sqref="F52:F54">
    <cfRule type="cellIs" dxfId="35" priority="53" stopIfTrue="1" operator="greaterThanOrEqual">
      <formula>0.145</formula>
    </cfRule>
    <cfRule type="cellIs" dxfId="34" priority="54" stopIfTrue="1" operator="lessThan">
      <formula>0.095</formula>
    </cfRule>
    <cfRule type="cellIs" dxfId="33" priority="55" stopIfTrue="1" operator="between">
      <formula>0.095</formula>
      <formula>0.145</formula>
    </cfRule>
  </conditionalFormatting>
  <conditionalFormatting sqref="F56:F60">
    <cfRule type="cellIs" dxfId="32" priority="50" stopIfTrue="1" operator="greaterThanOrEqual">
      <formula>0.145</formula>
    </cfRule>
    <cfRule type="cellIs" dxfId="31" priority="51" stopIfTrue="1" operator="lessThan">
      <formula>0.095</formula>
    </cfRule>
    <cfRule type="cellIs" dxfId="30" priority="52" stopIfTrue="1" operator="between">
      <formula>0.095</formula>
      <formula>0.145</formula>
    </cfRule>
  </conditionalFormatting>
  <conditionalFormatting sqref="F62:F63">
    <cfRule type="cellIs" dxfId="29" priority="47" stopIfTrue="1" operator="greaterThanOrEqual">
      <formula>0.145</formula>
    </cfRule>
    <cfRule type="cellIs" dxfId="28" priority="48" stopIfTrue="1" operator="lessThan">
      <formula>0.095</formula>
    </cfRule>
    <cfRule type="cellIs" dxfId="27" priority="49" stopIfTrue="1" operator="between">
      <formula>0.095</formula>
      <formula>0.145</formula>
    </cfRule>
  </conditionalFormatting>
  <conditionalFormatting sqref="F65:F66">
    <cfRule type="cellIs" dxfId="26" priority="44" stopIfTrue="1" operator="greaterThanOrEqual">
      <formula>0.145</formula>
    </cfRule>
    <cfRule type="cellIs" dxfId="25" priority="45" stopIfTrue="1" operator="lessThan">
      <formula>0.095</formula>
    </cfRule>
    <cfRule type="cellIs" dxfId="24" priority="46" stopIfTrue="1" operator="between">
      <formula>0.095</formula>
      <formula>0.145</formula>
    </cfRule>
  </conditionalFormatting>
  <conditionalFormatting sqref="F68:F71">
    <cfRule type="cellIs" dxfId="23" priority="41" stopIfTrue="1" operator="greaterThanOrEqual">
      <formula>0.145</formula>
    </cfRule>
    <cfRule type="cellIs" dxfId="22" priority="42" stopIfTrue="1" operator="lessThan">
      <formula>0.095</formula>
    </cfRule>
    <cfRule type="cellIs" dxfId="21" priority="43" stopIfTrue="1" operator="between">
      <formula>0.095</formula>
      <formula>0.145</formula>
    </cfRule>
  </conditionalFormatting>
  <conditionalFormatting sqref="F73:F81">
    <cfRule type="cellIs" dxfId="20" priority="40" stopIfTrue="1" operator="between">
      <formula>0.095</formula>
      <formula>0.145</formula>
    </cfRule>
    <cfRule type="cellIs" dxfId="19" priority="39" stopIfTrue="1" operator="lessThan">
      <formula>0.095</formula>
    </cfRule>
    <cfRule type="cellIs" dxfId="18" priority="38" stopIfTrue="1" operator="greaterThanOrEqual">
      <formula>0.145</formula>
    </cfRule>
  </conditionalFormatting>
  <conditionalFormatting sqref="F83:F85">
    <cfRule type="cellIs" dxfId="17" priority="34" stopIfTrue="1" operator="between">
      <formula>0.095</formula>
      <formula>0.145</formula>
    </cfRule>
    <cfRule type="cellIs" dxfId="16" priority="33" stopIfTrue="1" operator="lessThan">
      <formula>0.095</formula>
    </cfRule>
    <cfRule type="cellIs" dxfId="15" priority="32" stopIfTrue="1" operator="greaterThanOrEqual">
      <formula>0.145</formula>
    </cfRule>
  </conditionalFormatting>
  <conditionalFormatting sqref="F87:F88">
    <cfRule type="cellIs" dxfId="14" priority="31" stopIfTrue="1" operator="between">
      <formula>0.095</formula>
      <formula>0.145</formula>
    </cfRule>
    <cfRule type="cellIs" dxfId="13" priority="30" stopIfTrue="1" operator="lessThan">
      <formula>0.095</formula>
    </cfRule>
    <cfRule type="cellIs" dxfId="12" priority="29" stopIfTrue="1" operator="greaterThanOrEqual">
      <formula>0.145</formula>
    </cfRule>
  </conditionalFormatting>
  <conditionalFormatting sqref="F90:F91">
    <cfRule type="cellIs" dxfId="11" priority="28" stopIfTrue="1" operator="between">
      <formula>0.095</formula>
      <formula>0.145</formula>
    </cfRule>
    <cfRule type="cellIs" dxfId="10" priority="27" stopIfTrue="1" operator="lessThan">
      <formula>0.095</formula>
    </cfRule>
    <cfRule type="cellIs" dxfId="9" priority="26" stopIfTrue="1" operator="greaterThanOrEqual">
      <formula>0.145</formula>
    </cfRule>
  </conditionalFormatting>
  <conditionalFormatting sqref="F93:F98">
    <cfRule type="cellIs" dxfId="8" priority="25" stopIfTrue="1" operator="between">
      <formula>0.095</formula>
      <formula>0.145</formula>
    </cfRule>
    <cfRule type="cellIs" dxfId="7" priority="24" stopIfTrue="1" operator="lessThan">
      <formula>0.095</formula>
    </cfRule>
    <cfRule type="cellIs" dxfId="6" priority="23" stopIfTrue="1" operator="greaterThanOrEqual">
      <formula>0.145</formula>
    </cfRule>
  </conditionalFormatting>
  <conditionalFormatting sqref="F100:F103">
    <cfRule type="cellIs" dxfId="5" priority="22" stopIfTrue="1" operator="between">
      <formula>0.095</formula>
      <formula>0.145</formula>
    </cfRule>
    <cfRule type="cellIs" dxfId="4" priority="21" stopIfTrue="1" operator="lessThan">
      <formula>0.095</formula>
    </cfRule>
    <cfRule type="cellIs" dxfId="3" priority="20" stopIfTrue="1" operator="greaterThanOrEqual">
      <formula>0.145</formula>
    </cfRule>
  </conditionalFormatting>
  <conditionalFormatting sqref="H8:H12 H14:H20 H22:H23 H25:H32 H34:H40 H42:H43 H45:H47 H49:H50 H52:H54 H56:H60 H62:H63 H65:H66 H68:H71 H73:H81 H83:H85 H87:H88 H90:H91 H93:H98 H100:H103">
    <cfRule type="cellIs" dxfId="2" priority="74" stopIfTrue="1" operator="greaterThanOrEqual">
      <formula>0.495</formula>
    </cfRule>
    <cfRule type="cellIs" dxfId="1" priority="75" operator="lessThan">
      <formula>0.345</formula>
    </cfRule>
    <cfRule type="cellIs" dxfId="0" priority="76" stopIfTrue="1" operator="between">
      <formula>0.345</formula>
      <formula>0.495</formula>
    </cfRule>
  </conditionalFormatting>
  <printOptions horizontalCentered="1" verticalCentered="1"/>
  <pageMargins left="0.25" right="0.25" top="0.25" bottom="0.25" header="0.05" footer="0.05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6B67-7222-8047-85D0-89BC2A5436DB}">
  <sheetPr>
    <tabColor rgb="FFFFFF00"/>
  </sheetPr>
  <dimension ref="A1:AM396"/>
  <sheetViews>
    <sheetView zoomScale="80" zoomScaleNormal="80" workbookViewId="0">
      <selection activeCell="V334" sqref="V334:AM390"/>
    </sheetView>
  </sheetViews>
  <sheetFormatPr baseColWidth="10" defaultColWidth="11.5" defaultRowHeight="15" x14ac:dyDescent="0.2"/>
  <cols>
    <col min="1" max="1" width="2.83203125" customWidth="1"/>
    <col min="2" max="20" width="10.6640625" hidden="1" customWidth="1"/>
    <col min="21" max="21" width="2.83203125" hidden="1" customWidth="1"/>
    <col min="22" max="22" width="32.83203125" customWidth="1"/>
    <col min="23" max="25" width="14.33203125" customWidth="1"/>
    <col min="26" max="26" width="14.5" customWidth="1"/>
    <col min="27" max="27" width="11.33203125" customWidth="1"/>
    <col min="28" max="28" width="15.83203125" customWidth="1"/>
    <col min="29" max="29" width="14.5" customWidth="1"/>
    <col min="30" max="30" width="15.83203125" customWidth="1"/>
    <col min="31" max="31" width="12.6640625" bestFit="1" customWidth="1"/>
    <col min="32" max="32" width="11.5" bestFit="1" customWidth="1"/>
    <col min="33" max="33" width="15.83203125" bestFit="1" customWidth="1"/>
    <col min="34" max="34" width="11.5" bestFit="1" customWidth="1"/>
    <col min="35" max="35" width="12.1640625" bestFit="1" customWidth="1"/>
    <col min="36" max="36" width="15" bestFit="1" customWidth="1"/>
    <col min="37" max="38" width="13.33203125" bestFit="1" customWidth="1"/>
    <col min="39" max="39" width="16.5" bestFit="1" customWidth="1"/>
  </cols>
  <sheetData>
    <row r="1" spans="1:39" x14ac:dyDescent="0.2">
      <c r="V1" s="4" t="s">
        <v>286</v>
      </c>
      <c r="W1" s="5" t="s">
        <v>272</v>
      </c>
      <c r="X1" s="5" t="s">
        <v>273</v>
      </c>
      <c r="Y1" s="5" t="s">
        <v>287</v>
      </c>
      <c r="Z1" s="5" t="s">
        <v>276</v>
      </c>
      <c r="AA1" s="5" t="s">
        <v>277</v>
      </c>
      <c r="AB1" s="5" t="s">
        <v>288</v>
      </c>
    </row>
    <row r="2" spans="1:39" ht="16" customHeight="1" x14ac:dyDescent="0.2">
      <c r="A2" s="2"/>
      <c r="B2" s="2"/>
      <c r="C2" s="86" t="str">
        <f>W1</f>
        <v>Nov 2024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39" x14ac:dyDescent="0.2">
      <c r="A3" s="2"/>
      <c r="B3" s="2" t="s">
        <v>105</v>
      </c>
      <c r="C3" s="2"/>
      <c r="D3" s="2"/>
      <c r="E3" s="2"/>
      <c r="F3" s="2"/>
      <c r="G3" s="2"/>
      <c r="H3" s="2"/>
      <c r="I3" s="2" t="s">
        <v>103</v>
      </c>
      <c r="J3" s="2"/>
      <c r="K3" s="2"/>
      <c r="L3" s="2"/>
      <c r="M3" s="2"/>
      <c r="N3" s="2"/>
      <c r="O3" s="2" t="s">
        <v>104</v>
      </c>
      <c r="P3" s="2"/>
      <c r="Q3" s="2"/>
      <c r="R3" s="2"/>
      <c r="S3" s="2"/>
      <c r="T3" s="2"/>
      <c r="U3" s="2"/>
      <c r="V3" s="2" t="s">
        <v>0</v>
      </c>
      <c r="W3" s="2" t="s">
        <v>2</v>
      </c>
      <c r="X3" s="2" t="s">
        <v>75</v>
      </c>
      <c r="Y3" s="2" t="s">
        <v>218</v>
      </c>
      <c r="Z3" s="2" t="s">
        <v>74</v>
      </c>
      <c r="AA3" s="2" t="s">
        <v>75</v>
      </c>
      <c r="AB3" s="2" t="s">
        <v>76</v>
      </c>
      <c r="AC3" s="2" t="s">
        <v>77</v>
      </c>
      <c r="AD3" s="2" t="s">
        <v>3</v>
      </c>
      <c r="AE3" s="2" t="s">
        <v>1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78</v>
      </c>
      <c r="AK3" s="2" t="s">
        <v>79</v>
      </c>
      <c r="AL3" s="2" t="s">
        <v>80</v>
      </c>
      <c r="AM3" s="2" t="s">
        <v>8</v>
      </c>
    </row>
    <row r="4" spans="1:39" x14ac:dyDescent="0.2">
      <c r="B4" t="str">
        <f>IF(V4="","",H4&amp;"-"&amp;D4)</f>
        <v>AZ-2</v>
      </c>
      <c r="C4" t="str">
        <f>IF(V4="","",$W$1&amp;"-"&amp;B4)</f>
        <v>Nov 2024-AZ-2</v>
      </c>
      <c r="D4">
        <f t="shared" ref="D4:D35" si="0">IF(V4="","",COUNTIFS($H$4:$H$60,H4,$E$4:$E$60,"&lt;"&amp;E4)+1)</f>
        <v>2</v>
      </c>
      <c r="E4">
        <f>IF(V4="","",G4+(F4/100))</f>
        <v>2.0099999999999998</v>
      </c>
      <c r="F4">
        <f t="shared" ref="F4:F35" si="1">IF(V4="","",COUNTIFS($H$4:$H$60,H4,$V$4:$V$60,"&lt;"&amp;V4)+1)</f>
        <v>1</v>
      </c>
      <c r="G4">
        <f t="shared" ref="G4:G35" si="2">IF(V4="","",COUNTIFS($H$4:$H$60,H4,$Y$4:$Y$60,"&gt;"&amp;Y4)+1)</f>
        <v>2</v>
      </c>
      <c r="H4" t="str">
        <f>IF(V4="","",IFERROR(VLOOKUP(TRIM($V4),KEY!$B$2:$E$58,3,FALSE),""))</f>
        <v>AZ</v>
      </c>
      <c r="I4" t="str">
        <f>IF(V4="","","WEST-"&amp;K4)</f>
        <v>WEST-8</v>
      </c>
      <c r="J4" t="str">
        <f>IF(V4="","",$W$1&amp;"-"&amp;I4)</f>
        <v>Nov 2024-WEST-8</v>
      </c>
      <c r="K4">
        <f>IFERROR(IF(V4="","",RANK(L4,$L$4:$L$60,1)),"-")</f>
        <v>8</v>
      </c>
      <c r="L4">
        <f>IFERROR(IF(V4="","",N4+(M4/100)),"-")</f>
        <v>8.01</v>
      </c>
      <c r="M4">
        <f>IF(V4="","",IFERROR(VLOOKUP(TRIM($V4),KEY!$B$2:$E$58,4,FALSE),""))</f>
        <v>1</v>
      </c>
      <c r="N4">
        <f>IFERROR(IF(V4="","",RANK(Y4,$Y$4:$Y$60)),"-")</f>
        <v>8</v>
      </c>
      <c r="O4" t="str">
        <f>IF(V4="","",T4&amp;"-"&amp;P4)</f>
        <v>AC-1</v>
      </c>
      <c r="P4">
        <f t="shared" ref="P4:P35" si="3">IF(V4="","",COUNTIFS($T$4:$T$60,T4,$Q$4:$Q$60,"&lt;"&amp;Q4)+1)</f>
        <v>1</v>
      </c>
      <c r="Q4">
        <f>IF(V4="","",S4+(R4/100))</f>
        <v>1.01</v>
      </c>
      <c r="R4">
        <f t="shared" ref="R4:R35" si="4">IF(V4="","",COUNTIFS($T$4:$T$60,T4,$V$4:$V$60,"&lt;"&amp;V4)+1)</f>
        <v>1</v>
      </c>
      <c r="S4">
        <f t="shared" ref="S4:S35" si="5">IF(V4="","",COUNTIFS($T$4:$T$60,T4,$Y$4:$Y$60,"&gt;"&amp;Y4)+1)</f>
        <v>1</v>
      </c>
      <c r="T4" t="str">
        <f>IF(V4="","",IFERROR(VLOOKUP(TRIM($V4),KEY!$B$2:$E$58,2,FALSE),""))</f>
        <v>AC</v>
      </c>
      <c r="V4" s="64" t="s">
        <v>9</v>
      </c>
      <c r="W4" s="64">
        <v>7</v>
      </c>
      <c r="X4" s="64">
        <v>3</v>
      </c>
      <c r="Y4" s="64">
        <v>0.42857142857142855</v>
      </c>
      <c r="Z4" s="64">
        <v>0</v>
      </c>
      <c r="AA4" s="64">
        <v>3</v>
      </c>
      <c r="AB4" s="64">
        <v>0</v>
      </c>
      <c r="AC4" s="64">
        <v>2</v>
      </c>
      <c r="AD4" s="64">
        <v>5</v>
      </c>
      <c r="AE4" s="64">
        <v>0.7142857142857143</v>
      </c>
      <c r="AF4" s="64">
        <v>0</v>
      </c>
      <c r="AG4" s="64">
        <v>0</v>
      </c>
      <c r="AH4" s="64">
        <v>0</v>
      </c>
      <c r="AI4" s="64">
        <v>0</v>
      </c>
      <c r="AJ4" s="64">
        <v>0</v>
      </c>
      <c r="AK4" s="64">
        <v>2</v>
      </c>
      <c r="AL4" s="64">
        <v>0</v>
      </c>
      <c r="AM4" s="64">
        <v>0.2857142857142857</v>
      </c>
    </row>
    <row r="5" spans="1:39" x14ac:dyDescent="0.2">
      <c r="B5" t="str">
        <f t="shared" ref="B5:B60" si="6">IF(V5="","",H5&amp;"-"&amp;D5)</f>
        <v>SoCal-9</v>
      </c>
      <c r="C5" t="str">
        <f t="shared" ref="C5:C60" si="7">IF(V5="","",$W$1&amp;"-"&amp;B5)</f>
        <v>Nov 2024-SoCal-9</v>
      </c>
      <c r="D5">
        <f t="shared" si="0"/>
        <v>9</v>
      </c>
      <c r="E5">
        <f t="shared" ref="E5:E60" si="8">IF(V5="","",G5+(F5/100))</f>
        <v>9.01</v>
      </c>
      <c r="F5">
        <f t="shared" si="1"/>
        <v>1</v>
      </c>
      <c r="G5">
        <f t="shared" si="2"/>
        <v>9</v>
      </c>
      <c r="H5" t="str">
        <f>IF(V5="","",IFERROR(VLOOKUP(TRIM($V5),KEY!$B$2:$E$58,3,FALSE),""))</f>
        <v>SoCal</v>
      </c>
      <c r="I5" t="str">
        <f t="shared" ref="I5:I60" si="9">IF(V5="","","WEST-"&amp;K5)</f>
        <v>WEST-36</v>
      </c>
      <c r="J5" t="str">
        <f t="shared" ref="J5:J60" si="10">IF(V5="","",$W$1&amp;"-"&amp;I5)</f>
        <v>Nov 2024-WEST-36</v>
      </c>
      <c r="K5">
        <f t="shared" ref="K5:K60" si="11">IFERROR(IF(V5="","",RANK(L5,$L$4:$L$60,1)),"-")</f>
        <v>36</v>
      </c>
      <c r="L5">
        <f t="shared" ref="L5:L60" si="12">IFERROR(IF(V5="","",N5+(M5/100)),"-")</f>
        <v>36.020000000000003</v>
      </c>
      <c r="M5">
        <f>IF(V5="","",IFERROR(VLOOKUP(TRIM($V5),KEY!$B$2:$E$58,4,FALSE),""))</f>
        <v>2</v>
      </c>
      <c r="N5">
        <f t="shared" ref="N5:N60" si="13">IFERROR(IF(V5="","",RANK(Y5,$Y$4:$Y$60)),"-")</f>
        <v>36</v>
      </c>
      <c r="O5" t="str">
        <f t="shared" ref="O5:O60" si="14">IF(V5="","",T5&amp;"-"&amp;P5)</f>
        <v>AC-3</v>
      </c>
      <c r="P5">
        <f t="shared" si="3"/>
        <v>3</v>
      </c>
      <c r="Q5">
        <f t="shared" ref="Q5:Q60" si="15">IF(V5="","",S5+(R5/100))</f>
        <v>3.02</v>
      </c>
      <c r="R5">
        <f t="shared" si="4"/>
        <v>2</v>
      </c>
      <c r="S5">
        <f t="shared" si="5"/>
        <v>3</v>
      </c>
      <c r="T5" t="str">
        <f>IF(V5="","",IFERROR(VLOOKUP(TRIM($V5),KEY!$B$2:$E$58,2,FALSE),""))</f>
        <v>AC</v>
      </c>
      <c r="V5" s="64" t="s">
        <v>10</v>
      </c>
      <c r="W5" s="64">
        <v>7</v>
      </c>
      <c r="X5" s="64">
        <v>1</v>
      </c>
      <c r="Y5" s="64">
        <v>0.14285714285714285</v>
      </c>
      <c r="Z5" s="64">
        <v>0</v>
      </c>
      <c r="AA5" s="64">
        <v>1</v>
      </c>
      <c r="AB5" s="64">
        <v>0</v>
      </c>
      <c r="AC5" s="64">
        <v>4</v>
      </c>
      <c r="AD5" s="64">
        <v>5</v>
      </c>
      <c r="AE5" s="64">
        <v>0.7142857142857143</v>
      </c>
      <c r="AF5" s="64">
        <v>0</v>
      </c>
      <c r="AG5" s="64">
        <v>0</v>
      </c>
      <c r="AH5" s="64">
        <v>0</v>
      </c>
      <c r="AI5" s="64">
        <v>0</v>
      </c>
      <c r="AJ5" s="64">
        <v>0</v>
      </c>
      <c r="AK5" s="64">
        <v>2</v>
      </c>
      <c r="AL5" s="64">
        <v>0</v>
      </c>
      <c r="AM5" s="64">
        <v>0.2857142857142857</v>
      </c>
    </row>
    <row r="6" spans="1:39" x14ac:dyDescent="0.2">
      <c r="B6" t="str">
        <f t="shared" si="6"/>
        <v>AZ-7</v>
      </c>
      <c r="C6" t="str">
        <f t="shared" si="7"/>
        <v>Nov 2024-AZ-7</v>
      </c>
      <c r="D6">
        <f t="shared" si="0"/>
        <v>7</v>
      </c>
      <c r="E6">
        <f t="shared" si="8"/>
        <v>7.02</v>
      </c>
      <c r="F6">
        <f t="shared" si="1"/>
        <v>2</v>
      </c>
      <c r="G6">
        <f t="shared" si="2"/>
        <v>7</v>
      </c>
      <c r="H6" t="str">
        <f>IF(V6="","",IFERROR(VLOOKUP(TRIM($V6),KEY!$B$2:$E$58,3,FALSE),""))</f>
        <v>AZ</v>
      </c>
      <c r="I6" t="str">
        <f t="shared" si="9"/>
        <v>WEST-27</v>
      </c>
      <c r="J6" t="str">
        <f t="shared" si="10"/>
        <v>Nov 2024-WEST-27</v>
      </c>
      <c r="K6">
        <f t="shared" si="11"/>
        <v>27</v>
      </c>
      <c r="L6">
        <f t="shared" si="12"/>
        <v>27.03</v>
      </c>
      <c r="M6">
        <f>IF(V6="","",IFERROR(VLOOKUP(TRIM($V6),KEY!$B$2:$E$58,4,FALSE),""))</f>
        <v>3</v>
      </c>
      <c r="N6">
        <f t="shared" si="13"/>
        <v>27</v>
      </c>
      <c r="O6" t="str">
        <f t="shared" si="14"/>
        <v>AU-5</v>
      </c>
      <c r="P6">
        <f t="shared" si="3"/>
        <v>5</v>
      </c>
      <c r="Q6">
        <f t="shared" si="15"/>
        <v>5.01</v>
      </c>
      <c r="R6">
        <f t="shared" si="4"/>
        <v>1</v>
      </c>
      <c r="S6">
        <f t="shared" si="5"/>
        <v>5</v>
      </c>
      <c r="T6" t="str">
        <f>IF(V6="","",IFERROR(VLOOKUP(TRIM($V6),KEY!$B$2:$E$58,2,FALSE),""))</f>
        <v>AU</v>
      </c>
      <c r="V6" s="64" t="s">
        <v>11</v>
      </c>
      <c r="W6" s="64">
        <v>4</v>
      </c>
      <c r="X6" s="64">
        <v>1</v>
      </c>
      <c r="Y6" s="64">
        <v>0.25</v>
      </c>
      <c r="Z6" s="64">
        <v>0</v>
      </c>
      <c r="AA6" s="64">
        <v>1</v>
      </c>
      <c r="AB6" s="64">
        <v>0</v>
      </c>
      <c r="AC6" s="64">
        <v>0</v>
      </c>
      <c r="AD6" s="64">
        <v>1</v>
      </c>
      <c r="AE6" s="64">
        <v>0.25</v>
      </c>
      <c r="AF6" s="64">
        <v>0</v>
      </c>
      <c r="AG6" s="64">
        <v>0</v>
      </c>
      <c r="AH6" s="64">
        <v>0</v>
      </c>
      <c r="AI6" s="64">
        <v>0</v>
      </c>
      <c r="AJ6" s="64">
        <v>1</v>
      </c>
      <c r="AK6" s="64">
        <v>2</v>
      </c>
      <c r="AL6" s="64">
        <v>0</v>
      </c>
      <c r="AM6" s="64">
        <v>0.75</v>
      </c>
    </row>
    <row r="7" spans="1:39" x14ac:dyDescent="0.2">
      <c r="B7" t="str">
        <f t="shared" si="6"/>
        <v>SoCal-1</v>
      </c>
      <c r="C7" t="str">
        <f t="shared" si="7"/>
        <v>Nov 2024-SoCal-1</v>
      </c>
      <c r="D7">
        <f t="shared" si="0"/>
        <v>1</v>
      </c>
      <c r="E7">
        <f t="shared" si="8"/>
        <v>1.02</v>
      </c>
      <c r="F7">
        <f t="shared" si="1"/>
        <v>2</v>
      </c>
      <c r="G7">
        <f t="shared" si="2"/>
        <v>1</v>
      </c>
      <c r="H7" t="str">
        <f>IF(V7="","",IFERROR(VLOOKUP(TRIM($V7),KEY!$B$2:$E$58,3,FALSE),""))</f>
        <v>SoCal</v>
      </c>
      <c r="I7" t="str">
        <f t="shared" si="9"/>
        <v>WEST-3</v>
      </c>
      <c r="J7" t="str">
        <f t="shared" si="10"/>
        <v>Nov 2024-WEST-3</v>
      </c>
      <c r="K7">
        <f t="shared" si="11"/>
        <v>3</v>
      </c>
      <c r="L7">
        <f t="shared" si="12"/>
        <v>3.04</v>
      </c>
      <c r="M7">
        <f>IF(V7="","",IFERROR(VLOOKUP(TRIM($V7),KEY!$B$2:$E$58,4,FALSE),""))</f>
        <v>4</v>
      </c>
      <c r="N7">
        <f t="shared" si="13"/>
        <v>3</v>
      </c>
      <c r="O7" t="str">
        <f t="shared" si="14"/>
        <v>AU-1</v>
      </c>
      <c r="P7">
        <f t="shared" si="3"/>
        <v>1</v>
      </c>
      <c r="Q7">
        <f t="shared" si="15"/>
        <v>1.02</v>
      </c>
      <c r="R7">
        <f t="shared" si="4"/>
        <v>2</v>
      </c>
      <c r="S7">
        <f t="shared" si="5"/>
        <v>1</v>
      </c>
      <c r="T7" t="str">
        <f>IF(V7="","",IFERROR(VLOOKUP(TRIM($V7),KEY!$B$2:$E$58,2,FALSE),""))</f>
        <v>AU</v>
      </c>
      <c r="V7" s="64" t="s">
        <v>12</v>
      </c>
      <c r="W7" s="64">
        <v>14</v>
      </c>
      <c r="X7" s="64">
        <v>9</v>
      </c>
      <c r="Y7" s="64">
        <v>0.6428571428571429</v>
      </c>
      <c r="Z7" s="64">
        <v>0</v>
      </c>
      <c r="AA7" s="64">
        <v>9</v>
      </c>
      <c r="AB7" s="64">
        <v>1</v>
      </c>
      <c r="AC7" s="64">
        <v>0</v>
      </c>
      <c r="AD7" s="64">
        <v>10</v>
      </c>
      <c r="AE7" s="64">
        <v>0.7142857142857143</v>
      </c>
      <c r="AF7" s="64">
        <v>2</v>
      </c>
      <c r="AG7" s="64">
        <v>0</v>
      </c>
      <c r="AH7" s="64">
        <v>0</v>
      </c>
      <c r="AI7" s="64">
        <v>0.14285714285714285</v>
      </c>
      <c r="AJ7" s="64">
        <v>0</v>
      </c>
      <c r="AK7" s="64">
        <v>2</v>
      </c>
      <c r="AL7" s="64">
        <v>0</v>
      </c>
      <c r="AM7" s="64">
        <v>0.14285714285714285</v>
      </c>
    </row>
    <row r="8" spans="1:39" x14ac:dyDescent="0.2">
      <c r="B8" t="str">
        <f t="shared" si="6"/>
        <v>OC-7</v>
      </c>
      <c r="C8" t="str">
        <f t="shared" si="7"/>
        <v>Nov 2024-OC-7</v>
      </c>
      <c r="D8">
        <f t="shared" si="0"/>
        <v>7</v>
      </c>
      <c r="E8">
        <f t="shared" si="8"/>
        <v>6.01</v>
      </c>
      <c r="F8">
        <f t="shared" si="1"/>
        <v>1</v>
      </c>
      <c r="G8">
        <f t="shared" si="2"/>
        <v>6</v>
      </c>
      <c r="H8" t="str">
        <f>IF(V8="","",IFERROR(VLOOKUP(TRIM($V8),KEY!$B$2:$E$58,3,FALSE),""))</f>
        <v>OC</v>
      </c>
      <c r="I8" t="str">
        <f t="shared" si="9"/>
        <v>WEST-41</v>
      </c>
      <c r="J8" t="str">
        <f t="shared" si="10"/>
        <v>Nov 2024-WEST-41</v>
      </c>
      <c r="K8">
        <f t="shared" si="11"/>
        <v>41</v>
      </c>
      <c r="L8">
        <f t="shared" si="12"/>
        <v>41.05</v>
      </c>
      <c r="M8">
        <f>IF(V8="","",IFERROR(VLOOKUP(TRIM($V8),KEY!$B$2:$E$58,4,FALSE),""))</f>
        <v>5</v>
      </c>
      <c r="N8">
        <f t="shared" si="13"/>
        <v>41</v>
      </c>
      <c r="O8" t="str">
        <f t="shared" si="14"/>
        <v>AU-6</v>
      </c>
      <c r="P8">
        <f t="shared" si="3"/>
        <v>6</v>
      </c>
      <c r="Q8">
        <f t="shared" si="15"/>
        <v>6.03</v>
      </c>
      <c r="R8">
        <f t="shared" si="4"/>
        <v>3</v>
      </c>
      <c r="S8">
        <f t="shared" si="5"/>
        <v>6</v>
      </c>
      <c r="T8" t="str">
        <f>IF(V8="","",IFERROR(VLOOKUP(TRIM($V8),KEY!$B$2:$E$58,2,FALSE),""))</f>
        <v>AU</v>
      </c>
      <c r="V8" s="64" t="s">
        <v>240</v>
      </c>
      <c r="W8" s="64">
        <v>2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1</v>
      </c>
      <c r="AD8" s="64">
        <v>1</v>
      </c>
      <c r="AE8" s="64">
        <v>0.5</v>
      </c>
      <c r="AF8" s="64">
        <v>0</v>
      </c>
      <c r="AG8" s="64">
        <v>0</v>
      </c>
      <c r="AH8" s="64">
        <v>0</v>
      </c>
      <c r="AI8" s="64">
        <v>0</v>
      </c>
      <c r="AJ8" s="64">
        <v>1</v>
      </c>
      <c r="AK8" s="64">
        <v>0</v>
      </c>
      <c r="AL8" s="64">
        <v>0</v>
      </c>
      <c r="AM8" s="64">
        <v>0.5</v>
      </c>
    </row>
    <row r="9" spans="1:39" x14ac:dyDescent="0.2">
      <c r="B9" t="str">
        <f t="shared" si="6"/>
        <v>AZ-3</v>
      </c>
      <c r="C9" t="str">
        <f t="shared" si="7"/>
        <v>Nov 2024-AZ-3</v>
      </c>
      <c r="D9">
        <f t="shared" si="0"/>
        <v>3</v>
      </c>
      <c r="E9">
        <f t="shared" si="8"/>
        <v>3.03</v>
      </c>
      <c r="F9">
        <f t="shared" si="1"/>
        <v>3</v>
      </c>
      <c r="G9">
        <f t="shared" si="2"/>
        <v>3</v>
      </c>
      <c r="H9" t="str">
        <f>IF(V9="","",IFERROR(VLOOKUP(TRIM($V9),KEY!$B$2:$E$58,3,FALSE),""))</f>
        <v>AZ</v>
      </c>
      <c r="I9" t="str">
        <f t="shared" si="9"/>
        <v>WEST-10</v>
      </c>
      <c r="J9" t="str">
        <f t="shared" si="10"/>
        <v>Nov 2024-WEST-10</v>
      </c>
      <c r="K9">
        <f t="shared" si="11"/>
        <v>10</v>
      </c>
      <c r="L9">
        <f t="shared" si="12"/>
        <v>10.06</v>
      </c>
      <c r="M9">
        <f>IF(V9="","",IFERROR(VLOOKUP(TRIM($V9),KEY!$B$2:$E$58,4,FALSE),""))</f>
        <v>6</v>
      </c>
      <c r="N9">
        <f t="shared" si="13"/>
        <v>10</v>
      </c>
      <c r="O9" t="str">
        <f t="shared" si="14"/>
        <v>AU-2</v>
      </c>
      <c r="P9">
        <f t="shared" si="3"/>
        <v>2</v>
      </c>
      <c r="Q9">
        <f t="shared" si="15"/>
        <v>2.04</v>
      </c>
      <c r="R9">
        <f t="shared" si="4"/>
        <v>4</v>
      </c>
      <c r="S9">
        <f t="shared" si="5"/>
        <v>2</v>
      </c>
      <c r="T9" t="str">
        <f>IF(V9="","",IFERROR(VLOOKUP(TRIM($V9),KEY!$B$2:$E$58,2,FALSE),""))</f>
        <v>AU</v>
      </c>
      <c r="V9" s="64" t="s">
        <v>13</v>
      </c>
      <c r="W9" s="64">
        <v>17</v>
      </c>
      <c r="X9" s="64">
        <v>7</v>
      </c>
      <c r="Y9" s="64">
        <v>0.41176470588235292</v>
      </c>
      <c r="Z9" s="64">
        <v>0</v>
      </c>
      <c r="AA9" s="64">
        <v>7</v>
      </c>
      <c r="AB9" s="64">
        <v>0</v>
      </c>
      <c r="AC9" s="64">
        <v>3</v>
      </c>
      <c r="AD9" s="64">
        <v>10</v>
      </c>
      <c r="AE9" s="64">
        <v>0.58823529411764708</v>
      </c>
      <c r="AF9" s="64">
        <v>2</v>
      </c>
      <c r="AG9" s="64">
        <v>3</v>
      </c>
      <c r="AH9" s="64">
        <v>0</v>
      </c>
      <c r="AI9" s="64">
        <v>0.29411764705882354</v>
      </c>
      <c r="AJ9" s="64">
        <v>2</v>
      </c>
      <c r="AK9" s="64">
        <v>0</v>
      </c>
      <c r="AL9" s="64">
        <v>0</v>
      </c>
      <c r="AM9" s="64">
        <v>0.11764705882352941</v>
      </c>
    </row>
    <row r="10" spans="1:39" x14ac:dyDescent="0.2">
      <c r="B10" t="str">
        <f t="shared" si="6"/>
        <v>NorCal-4</v>
      </c>
      <c r="C10" t="str">
        <f t="shared" si="7"/>
        <v>Nov 2024-NorCal-4</v>
      </c>
      <c r="D10">
        <f t="shared" si="0"/>
        <v>4</v>
      </c>
      <c r="E10">
        <f t="shared" si="8"/>
        <v>4.01</v>
      </c>
      <c r="F10">
        <f t="shared" si="1"/>
        <v>1</v>
      </c>
      <c r="G10">
        <f t="shared" si="2"/>
        <v>4</v>
      </c>
      <c r="H10" t="str">
        <f>IF(V10="","",IFERROR(VLOOKUP(TRIM($V10),KEY!$B$2:$E$58,3,FALSE),""))</f>
        <v>NorCal</v>
      </c>
      <c r="I10" t="str">
        <f t="shared" si="9"/>
        <v>WEST-22</v>
      </c>
      <c r="J10" t="str">
        <f t="shared" si="10"/>
        <v>Nov 2024-WEST-22</v>
      </c>
      <c r="K10">
        <f t="shared" si="11"/>
        <v>22</v>
      </c>
      <c r="L10">
        <f t="shared" si="12"/>
        <v>22.08</v>
      </c>
      <c r="M10">
        <f>IF(V10="","",IFERROR(VLOOKUP(TRIM($V10),KEY!$B$2:$E$58,4,FALSE),""))</f>
        <v>8</v>
      </c>
      <c r="N10">
        <f t="shared" si="13"/>
        <v>22</v>
      </c>
      <c r="O10" t="str">
        <f t="shared" si="14"/>
        <v>AU-4</v>
      </c>
      <c r="P10">
        <f t="shared" si="3"/>
        <v>4</v>
      </c>
      <c r="Q10">
        <f t="shared" si="15"/>
        <v>4.05</v>
      </c>
      <c r="R10">
        <f t="shared" si="4"/>
        <v>5</v>
      </c>
      <c r="S10">
        <f t="shared" si="5"/>
        <v>4</v>
      </c>
      <c r="T10" t="str">
        <f>IF(V10="","",IFERROR(VLOOKUP(TRIM($V10),KEY!$B$2:$E$58,2,FALSE),""))</f>
        <v>AU</v>
      </c>
      <c r="V10" s="64" t="s">
        <v>275</v>
      </c>
      <c r="W10" s="64">
        <v>44</v>
      </c>
      <c r="X10" s="64">
        <v>13</v>
      </c>
      <c r="Y10" s="64">
        <v>0.29545454545454547</v>
      </c>
      <c r="Z10" s="64">
        <v>1</v>
      </c>
      <c r="AA10" s="64">
        <v>13</v>
      </c>
      <c r="AB10" s="64">
        <v>14</v>
      </c>
      <c r="AC10" s="64">
        <v>5</v>
      </c>
      <c r="AD10" s="64">
        <v>33</v>
      </c>
      <c r="AE10" s="64">
        <v>0.75</v>
      </c>
      <c r="AF10" s="64">
        <v>0</v>
      </c>
      <c r="AG10" s="64">
        <v>0</v>
      </c>
      <c r="AH10" s="64">
        <v>0</v>
      </c>
      <c r="AI10" s="64">
        <v>0</v>
      </c>
      <c r="AJ10" s="64">
        <v>10</v>
      </c>
      <c r="AK10" s="64">
        <v>1</v>
      </c>
      <c r="AL10" s="64">
        <v>0</v>
      </c>
      <c r="AM10" s="64">
        <v>0.25</v>
      </c>
    </row>
    <row r="11" spans="1:39" x14ac:dyDescent="0.2">
      <c r="B11" t="str">
        <f t="shared" si="6"/>
        <v>OC-4</v>
      </c>
      <c r="C11" t="str">
        <f t="shared" si="7"/>
        <v>Nov 2024-OC-4</v>
      </c>
      <c r="D11">
        <f t="shared" si="0"/>
        <v>4</v>
      </c>
      <c r="E11">
        <f t="shared" si="8"/>
        <v>3.02</v>
      </c>
      <c r="F11">
        <f t="shared" si="1"/>
        <v>2</v>
      </c>
      <c r="G11">
        <f t="shared" si="2"/>
        <v>3</v>
      </c>
      <c r="H11" t="str">
        <f>IF(V11="","",IFERROR(VLOOKUP(TRIM($V11),KEY!$B$2:$E$58,3,FALSE),""))</f>
        <v>OC</v>
      </c>
      <c r="I11" t="str">
        <f t="shared" si="9"/>
        <v>WEST-16</v>
      </c>
      <c r="J11" t="str">
        <f t="shared" si="10"/>
        <v>Nov 2024-WEST-16</v>
      </c>
      <c r="K11">
        <f t="shared" si="11"/>
        <v>16</v>
      </c>
      <c r="L11">
        <f t="shared" si="12"/>
        <v>16.07</v>
      </c>
      <c r="M11">
        <f>IF(V11="","",IFERROR(VLOOKUP(TRIM($V11),KEY!$B$2:$E$58,4,FALSE),""))</f>
        <v>7</v>
      </c>
      <c r="N11">
        <f t="shared" si="13"/>
        <v>16</v>
      </c>
      <c r="O11" t="str">
        <f t="shared" si="14"/>
        <v>AU-3</v>
      </c>
      <c r="P11">
        <f t="shared" si="3"/>
        <v>3</v>
      </c>
      <c r="Q11">
        <f t="shared" si="15"/>
        <v>3.06</v>
      </c>
      <c r="R11">
        <f t="shared" si="4"/>
        <v>6</v>
      </c>
      <c r="S11">
        <f t="shared" si="5"/>
        <v>3</v>
      </c>
      <c r="T11" t="str">
        <f>IF(V11="","",IFERROR(VLOOKUP(TRIM($V11),KEY!$B$2:$E$58,2,FALSE),""))</f>
        <v>AU</v>
      </c>
      <c r="V11" s="64" t="s">
        <v>14</v>
      </c>
      <c r="W11" s="64">
        <v>30</v>
      </c>
      <c r="X11" s="64">
        <v>11</v>
      </c>
      <c r="Y11" s="64">
        <v>0.36666666666666664</v>
      </c>
      <c r="Z11" s="64">
        <v>0</v>
      </c>
      <c r="AA11" s="64">
        <v>11</v>
      </c>
      <c r="AB11" s="64">
        <v>5</v>
      </c>
      <c r="AC11" s="64">
        <v>2</v>
      </c>
      <c r="AD11" s="64">
        <v>18</v>
      </c>
      <c r="AE11" s="64">
        <v>0.6</v>
      </c>
      <c r="AF11" s="64">
        <v>0</v>
      </c>
      <c r="AG11" s="64">
        <v>0</v>
      </c>
      <c r="AH11" s="64">
        <v>0</v>
      </c>
      <c r="AI11" s="64">
        <v>0</v>
      </c>
      <c r="AJ11" s="64">
        <v>9</v>
      </c>
      <c r="AK11" s="64">
        <v>3</v>
      </c>
      <c r="AL11" s="64">
        <v>0</v>
      </c>
      <c r="AM11" s="64">
        <v>0.4</v>
      </c>
    </row>
    <row r="12" spans="1:39" x14ac:dyDescent="0.2">
      <c r="B12" t="str">
        <f t="shared" si="6"/>
        <v>AZ-12</v>
      </c>
      <c r="C12" t="str">
        <f t="shared" si="7"/>
        <v>Nov 2024-AZ-12</v>
      </c>
      <c r="D12">
        <f t="shared" si="0"/>
        <v>12</v>
      </c>
      <c r="E12">
        <f t="shared" si="8"/>
        <v>12.04</v>
      </c>
      <c r="F12">
        <f t="shared" si="1"/>
        <v>4</v>
      </c>
      <c r="G12">
        <f t="shared" si="2"/>
        <v>12</v>
      </c>
      <c r="H12" t="str">
        <f>IF(V12="","",IFERROR(VLOOKUP(TRIM($V12),KEY!$B$2:$E$58,3,FALSE),""))</f>
        <v>AZ</v>
      </c>
      <c r="I12" t="str">
        <f t="shared" si="9"/>
        <v>WEST-42</v>
      </c>
      <c r="J12" t="str">
        <f t="shared" si="10"/>
        <v>Nov 2024-WEST-42</v>
      </c>
      <c r="K12">
        <f t="shared" si="11"/>
        <v>42</v>
      </c>
      <c r="L12">
        <f t="shared" si="12"/>
        <v>41.09</v>
      </c>
      <c r="M12">
        <f>IF(V12="","",IFERROR(VLOOKUP(TRIM($V12),KEY!$B$2:$E$58,4,FALSE),""))</f>
        <v>9</v>
      </c>
      <c r="N12">
        <f t="shared" si="13"/>
        <v>41</v>
      </c>
      <c r="O12" t="str">
        <f t="shared" si="14"/>
        <v>BE-1</v>
      </c>
      <c r="P12">
        <f t="shared" si="3"/>
        <v>1</v>
      </c>
      <c r="Q12">
        <f t="shared" si="15"/>
        <v>1.01</v>
      </c>
      <c r="R12">
        <f t="shared" si="4"/>
        <v>1</v>
      </c>
      <c r="S12">
        <f t="shared" si="5"/>
        <v>1</v>
      </c>
      <c r="T12" t="str">
        <f>IF(V12="","",IFERROR(VLOOKUP(TRIM($V12),KEY!$B$2:$E$58,2,FALSE),""))</f>
        <v>BE</v>
      </c>
      <c r="V12" s="64" t="s">
        <v>15</v>
      </c>
      <c r="W12" s="64">
        <v>1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1</v>
      </c>
      <c r="AG12" s="64">
        <v>0</v>
      </c>
      <c r="AH12" s="64">
        <v>0</v>
      </c>
      <c r="AI12" s="64">
        <v>1</v>
      </c>
      <c r="AJ12" s="64">
        <v>0</v>
      </c>
      <c r="AK12" s="64">
        <v>0</v>
      </c>
      <c r="AL12" s="64">
        <v>0</v>
      </c>
      <c r="AM12" s="64">
        <v>0</v>
      </c>
    </row>
    <row r="13" spans="1:39" x14ac:dyDescent="0.2">
      <c r="B13" t="str">
        <f t="shared" si="6"/>
        <v>AZ-9</v>
      </c>
      <c r="C13" t="str">
        <f t="shared" si="7"/>
        <v>Nov 2024-AZ-9</v>
      </c>
      <c r="D13">
        <f t="shared" si="0"/>
        <v>9</v>
      </c>
      <c r="E13">
        <f t="shared" si="8"/>
        <v>9.0500000000000007</v>
      </c>
      <c r="F13">
        <f t="shared" si="1"/>
        <v>5</v>
      </c>
      <c r="G13">
        <f t="shared" si="2"/>
        <v>9</v>
      </c>
      <c r="H13" t="str">
        <f>IF(V13="","",IFERROR(VLOOKUP(TRIM($V13),KEY!$B$2:$E$58,3,FALSE),""))</f>
        <v>AZ</v>
      </c>
      <c r="I13" t="str">
        <f t="shared" si="9"/>
        <v>WEST-30</v>
      </c>
      <c r="J13" t="str">
        <f t="shared" si="10"/>
        <v>Nov 2024-WEST-30</v>
      </c>
      <c r="K13">
        <f t="shared" si="11"/>
        <v>30</v>
      </c>
      <c r="L13">
        <f t="shared" si="12"/>
        <v>30.1</v>
      </c>
      <c r="M13">
        <f>IF(V13="","",IFERROR(VLOOKUP(TRIM($V13),KEY!$B$2:$E$58,4,FALSE),""))</f>
        <v>10</v>
      </c>
      <c r="N13">
        <f t="shared" si="13"/>
        <v>30</v>
      </c>
      <c r="O13" t="str">
        <f t="shared" si="14"/>
        <v>BM-6</v>
      </c>
      <c r="P13">
        <f t="shared" si="3"/>
        <v>6</v>
      </c>
      <c r="Q13">
        <f t="shared" si="15"/>
        <v>6.01</v>
      </c>
      <c r="R13">
        <f t="shared" si="4"/>
        <v>1</v>
      </c>
      <c r="S13">
        <f t="shared" si="5"/>
        <v>6</v>
      </c>
      <c r="T13" t="str">
        <f>IF(V13="","",IFERROR(VLOOKUP(TRIM($V13),KEY!$B$2:$E$58,2,FALSE),""))</f>
        <v>BM</v>
      </c>
      <c r="V13" s="64" t="s">
        <v>16</v>
      </c>
      <c r="W13" s="64">
        <v>73</v>
      </c>
      <c r="X13" s="64">
        <v>17</v>
      </c>
      <c r="Y13" s="64">
        <v>0.23287671232876711</v>
      </c>
      <c r="Z13" s="64">
        <v>3</v>
      </c>
      <c r="AA13" s="64">
        <v>17</v>
      </c>
      <c r="AB13" s="64">
        <v>10</v>
      </c>
      <c r="AC13" s="64">
        <v>10</v>
      </c>
      <c r="AD13" s="64">
        <v>40</v>
      </c>
      <c r="AE13" s="64">
        <v>0.54794520547945202</v>
      </c>
      <c r="AF13" s="64">
        <v>0</v>
      </c>
      <c r="AG13" s="64">
        <v>0</v>
      </c>
      <c r="AH13" s="64">
        <v>0</v>
      </c>
      <c r="AI13" s="64">
        <v>0</v>
      </c>
      <c r="AJ13" s="64">
        <v>14</v>
      </c>
      <c r="AK13" s="64">
        <v>19</v>
      </c>
      <c r="AL13" s="64">
        <v>0</v>
      </c>
      <c r="AM13" s="64">
        <v>0.45205479452054792</v>
      </c>
    </row>
    <row r="14" spans="1:39" x14ac:dyDescent="0.2">
      <c r="B14" t="str">
        <f t="shared" si="6"/>
        <v>TX-6</v>
      </c>
      <c r="C14" t="str">
        <f t="shared" si="7"/>
        <v>Nov 2024-TX-6</v>
      </c>
      <c r="D14">
        <f t="shared" si="0"/>
        <v>6</v>
      </c>
      <c r="E14">
        <f t="shared" si="8"/>
        <v>4.01</v>
      </c>
      <c r="F14">
        <f t="shared" si="1"/>
        <v>1</v>
      </c>
      <c r="G14">
        <f t="shared" si="2"/>
        <v>4</v>
      </c>
      <c r="H14" t="str">
        <f>IF(V14="","",IFERROR(VLOOKUP(TRIM($V14),KEY!$B$2:$E$58,3,FALSE),""))</f>
        <v>TX</v>
      </c>
      <c r="I14" t="str">
        <f t="shared" si="9"/>
        <v>WEST-15</v>
      </c>
      <c r="J14" t="str">
        <f t="shared" si="10"/>
        <v>Nov 2024-WEST-15</v>
      </c>
      <c r="K14">
        <f t="shared" si="11"/>
        <v>15</v>
      </c>
      <c r="L14">
        <f t="shared" si="12"/>
        <v>15.11</v>
      </c>
      <c r="M14">
        <f>IF(V14="","",IFERROR(VLOOKUP(TRIM($V14),KEY!$B$2:$E$58,4,FALSE),""))</f>
        <v>11</v>
      </c>
      <c r="N14">
        <f t="shared" si="13"/>
        <v>15</v>
      </c>
      <c r="O14" t="str">
        <f t="shared" si="14"/>
        <v>BM-4</v>
      </c>
      <c r="P14">
        <f t="shared" si="3"/>
        <v>4</v>
      </c>
      <c r="Q14">
        <f t="shared" si="15"/>
        <v>4.0199999999999996</v>
      </c>
      <c r="R14">
        <f t="shared" si="4"/>
        <v>2</v>
      </c>
      <c r="S14">
        <f t="shared" si="5"/>
        <v>4</v>
      </c>
      <c r="T14" t="str">
        <f>IF(V14="","",IFERROR(VLOOKUP(TRIM($V14),KEY!$B$2:$E$58,2,FALSE),""))</f>
        <v>BM</v>
      </c>
      <c r="V14" s="64" t="s">
        <v>17</v>
      </c>
      <c r="W14" s="64">
        <v>35</v>
      </c>
      <c r="X14" s="64">
        <v>13</v>
      </c>
      <c r="Y14" s="64">
        <v>0.37142857142857144</v>
      </c>
      <c r="Z14" s="64">
        <v>0</v>
      </c>
      <c r="AA14" s="64">
        <v>13</v>
      </c>
      <c r="AB14" s="64">
        <v>4</v>
      </c>
      <c r="AC14" s="64">
        <v>7</v>
      </c>
      <c r="AD14" s="64">
        <v>24</v>
      </c>
      <c r="AE14" s="64">
        <v>0.68571428571428572</v>
      </c>
      <c r="AF14" s="64">
        <v>0</v>
      </c>
      <c r="AG14" s="64">
        <v>0</v>
      </c>
      <c r="AH14" s="64">
        <v>0</v>
      </c>
      <c r="AI14" s="64">
        <v>0</v>
      </c>
      <c r="AJ14" s="64">
        <v>5</v>
      </c>
      <c r="AK14" s="64">
        <v>6</v>
      </c>
      <c r="AL14" s="64">
        <v>0</v>
      </c>
      <c r="AM14" s="64">
        <v>0.31428571428571428</v>
      </c>
    </row>
    <row r="15" spans="1:39" x14ac:dyDescent="0.2">
      <c r="B15" t="str">
        <f t="shared" si="6"/>
        <v>SoCal-7</v>
      </c>
      <c r="C15" t="str">
        <f t="shared" si="7"/>
        <v>Nov 2024-SoCal-7</v>
      </c>
      <c r="D15">
        <f t="shared" si="0"/>
        <v>7</v>
      </c>
      <c r="E15">
        <f t="shared" si="8"/>
        <v>7.04</v>
      </c>
      <c r="F15">
        <f t="shared" si="1"/>
        <v>4</v>
      </c>
      <c r="G15">
        <f t="shared" si="2"/>
        <v>7</v>
      </c>
      <c r="H15" t="str">
        <f>IF(V15="","",IFERROR(VLOOKUP(TRIM($V15),KEY!$B$2:$E$58,3,FALSE),""))</f>
        <v>SoCal</v>
      </c>
      <c r="I15" t="str">
        <f t="shared" si="9"/>
        <v>WEST-34</v>
      </c>
      <c r="J15" t="str">
        <f t="shared" si="10"/>
        <v>Nov 2024-WEST-34</v>
      </c>
      <c r="K15">
        <f t="shared" si="11"/>
        <v>34</v>
      </c>
      <c r="L15">
        <f t="shared" si="12"/>
        <v>34.119999999999997</v>
      </c>
      <c r="M15">
        <f>IF(V15="","",IFERROR(VLOOKUP(TRIM($V15),KEY!$B$2:$E$58,4,FALSE),""))</f>
        <v>12</v>
      </c>
      <c r="N15">
        <f t="shared" si="13"/>
        <v>34</v>
      </c>
      <c r="O15" t="str">
        <f t="shared" si="14"/>
        <v>BM-7</v>
      </c>
      <c r="P15">
        <f t="shared" si="3"/>
        <v>7</v>
      </c>
      <c r="Q15">
        <f t="shared" si="15"/>
        <v>7.05</v>
      </c>
      <c r="R15">
        <f t="shared" si="4"/>
        <v>5</v>
      </c>
      <c r="S15">
        <f t="shared" si="5"/>
        <v>7</v>
      </c>
      <c r="T15" t="str">
        <f>IF(V15="","",IFERROR(VLOOKUP(TRIM($V15),KEY!$B$2:$E$58,2,FALSE),""))</f>
        <v>BM</v>
      </c>
      <c r="V15" s="64" t="s">
        <v>267</v>
      </c>
      <c r="W15" s="64">
        <v>19</v>
      </c>
      <c r="X15" s="64">
        <v>3</v>
      </c>
      <c r="Y15" s="64">
        <v>0.15789473684210525</v>
      </c>
      <c r="Z15" s="64">
        <v>2</v>
      </c>
      <c r="AA15" s="64">
        <v>3</v>
      </c>
      <c r="AB15" s="64">
        <v>0</v>
      </c>
      <c r="AC15" s="64">
        <v>1</v>
      </c>
      <c r="AD15" s="64">
        <v>6</v>
      </c>
      <c r="AE15" s="64">
        <v>0.31578947368421051</v>
      </c>
      <c r="AF15" s="64">
        <v>4</v>
      </c>
      <c r="AG15" s="64">
        <v>4</v>
      </c>
      <c r="AH15" s="64">
        <v>4</v>
      </c>
      <c r="AI15" s="64">
        <v>0.63157894736842102</v>
      </c>
      <c r="AJ15" s="64">
        <v>0</v>
      </c>
      <c r="AK15" s="64">
        <v>1</v>
      </c>
      <c r="AL15" s="64">
        <v>0</v>
      </c>
      <c r="AM15" s="64">
        <v>5.2631578947368418E-2</v>
      </c>
    </row>
    <row r="16" spans="1:39" x14ac:dyDescent="0.2">
      <c r="B16" t="str">
        <f t="shared" si="6"/>
        <v>OC-5</v>
      </c>
      <c r="C16" t="str">
        <f t="shared" si="7"/>
        <v>Nov 2024-OC-5</v>
      </c>
      <c r="D16">
        <f t="shared" si="0"/>
        <v>5</v>
      </c>
      <c r="E16">
        <f t="shared" si="8"/>
        <v>4.03</v>
      </c>
      <c r="F16">
        <f t="shared" si="1"/>
        <v>3</v>
      </c>
      <c r="G16">
        <f t="shared" si="2"/>
        <v>4</v>
      </c>
      <c r="H16" t="str">
        <f>IF(V16="","",IFERROR(VLOOKUP(TRIM($V16),KEY!$B$2:$E$58,3,FALSE),""))</f>
        <v>OC</v>
      </c>
      <c r="I16" t="str">
        <f t="shared" si="9"/>
        <v>WEST-17</v>
      </c>
      <c r="J16" t="str">
        <f t="shared" si="10"/>
        <v>Nov 2024-WEST-17</v>
      </c>
      <c r="K16">
        <f t="shared" si="11"/>
        <v>17</v>
      </c>
      <c r="L16">
        <f t="shared" si="12"/>
        <v>17.13</v>
      </c>
      <c r="M16">
        <f>IF(V16="","",IFERROR(VLOOKUP(TRIM($V16),KEY!$B$2:$E$58,4,FALSE),""))</f>
        <v>13</v>
      </c>
      <c r="N16">
        <f t="shared" si="13"/>
        <v>17</v>
      </c>
      <c r="O16" t="str">
        <f t="shared" si="14"/>
        <v>BM-5</v>
      </c>
      <c r="P16">
        <f t="shared" si="3"/>
        <v>5</v>
      </c>
      <c r="Q16">
        <f t="shared" si="15"/>
        <v>5.03</v>
      </c>
      <c r="R16">
        <f t="shared" si="4"/>
        <v>3</v>
      </c>
      <c r="S16">
        <f t="shared" si="5"/>
        <v>5</v>
      </c>
      <c r="T16" t="str">
        <f>IF(V16="","",IFERROR(VLOOKUP(TRIM($V16),KEY!$B$2:$E$58,2,FALSE),""))</f>
        <v>BM</v>
      </c>
      <c r="V16" s="64" t="s">
        <v>18</v>
      </c>
      <c r="W16" s="64">
        <v>47</v>
      </c>
      <c r="X16" s="64">
        <v>16</v>
      </c>
      <c r="Y16" s="64">
        <v>0.34042553191489361</v>
      </c>
      <c r="Z16" s="64">
        <v>2</v>
      </c>
      <c r="AA16" s="64">
        <v>16</v>
      </c>
      <c r="AB16" s="64">
        <v>3</v>
      </c>
      <c r="AC16" s="64">
        <v>5</v>
      </c>
      <c r="AD16" s="64">
        <v>26</v>
      </c>
      <c r="AE16" s="64">
        <v>0.55319148936170215</v>
      </c>
      <c r="AF16" s="64">
        <v>0</v>
      </c>
      <c r="AG16" s="64">
        <v>3</v>
      </c>
      <c r="AH16" s="64">
        <v>0</v>
      </c>
      <c r="AI16" s="64">
        <v>6.3829787234042548E-2</v>
      </c>
      <c r="AJ16" s="64">
        <v>10</v>
      </c>
      <c r="AK16" s="64">
        <v>8</v>
      </c>
      <c r="AL16" s="64">
        <v>0</v>
      </c>
      <c r="AM16" s="64">
        <v>0.38297872340425532</v>
      </c>
    </row>
    <row r="17" spans="2:39" x14ac:dyDescent="0.2">
      <c r="B17" t="str">
        <f t="shared" si="6"/>
        <v>SoCal-2</v>
      </c>
      <c r="C17" t="str">
        <f t="shared" si="7"/>
        <v>Nov 2024-SoCal-2</v>
      </c>
      <c r="D17">
        <f t="shared" si="0"/>
        <v>2</v>
      </c>
      <c r="E17">
        <f t="shared" si="8"/>
        <v>2.0299999999999998</v>
      </c>
      <c r="F17">
        <f t="shared" si="1"/>
        <v>3</v>
      </c>
      <c r="G17">
        <f t="shared" si="2"/>
        <v>2</v>
      </c>
      <c r="H17" t="str">
        <f>IF(V17="","",IFERROR(VLOOKUP(TRIM($V17),KEY!$B$2:$E$58,3,FALSE),""))</f>
        <v>SoCal</v>
      </c>
      <c r="I17" t="str">
        <f t="shared" si="9"/>
        <v>WEST-7</v>
      </c>
      <c r="J17" t="str">
        <f t="shared" si="10"/>
        <v>Nov 2024-WEST-7</v>
      </c>
      <c r="K17">
        <f t="shared" si="11"/>
        <v>7</v>
      </c>
      <c r="L17">
        <f t="shared" si="12"/>
        <v>7.14</v>
      </c>
      <c r="M17">
        <f>IF(V17="","",IFERROR(VLOOKUP(TRIM($V17),KEY!$B$2:$E$58,4,FALSE),""))</f>
        <v>14</v>
      </c>
      <c r="N17">
        <f t="shared" si="13"/>
        <v>7</v>
      </c>
      <c r="O17" t="str">
        <f t="shared" si="14"/>
        <v>BM-1</v>
      </c>
      <c r="P17">
        <f t="shared" si="3"/>
        <v>1</v>
      </c>
      <c r="Q17">
        <f t="shared" si="15"/>
        <v>1.04</v>
      </c>
      <c r="R17">
        <f t="shared" si="4"/>
        <v>4</v>
      </c>
      <c r="S17">
        <f t="shared" si="5"/>
        <v>1</v>
      </c>
      <c r="T17" t="str">
        <f>IF(V17="","",IFERROR(VLOOKUP(TRIM($V17),KEY!$B$2:$E$58,2,FALSE),""))</f>
        <v>BM</v>
      </c>
      <c r="V17" s="64" t="s">
        <v>19</v>
      </c>
      <c r="W17" s="64">
        <v>59</v>
      </c>
      <c r="X17" s="64">
        <v>26</v>
      </c>
      <c r="Y17" s="64">
        <v>0.44067796610169491</v>
      </c>
      <c r="Z17" s="64">
        <v>7</v>
      </c>
      <c r="AA17" s="64">
        <v>26</v>
      </c>
      <c r="AB17" s="64">
        <v>4</v>
      </c>
      <c r="AC17" s="64">
        <v>8</v>
      </c>
      <c r="AD17" s="64">
        <v>45</v>
      </c>
      <c r="AE17" s="64">
        <v>0.76271186440677963</v>
      </c>
      <c r="AF17" s="64">
        <v>4</v>
      </c>
      <c r="AG17" s="64">
        <v>0</v>
      </c>
      <c r="AH17" s="64">
        <v>7</v>
      </c>
      <c r="AI17" s="64">
        <v>0.1864406779661017</v>
      </c>
      <c r="AJ17" s="64">
        <v>3</v>
      </c>
      <c r="AK17" s="64">
        <v>0</v>
      </c>
      <c r="AL17" s="64">
        <v>0</v>
      </c>
      <c r="AM17" s="64">
        <v>5.0847457627118647E-2</v>
      </c>
    </row>
    <row r="18" spans="2:39" x14ac:dyDescent="0.2">
      <c r="B18" t="str">
        <f t="shared" si="6"/>
        <v>NorCal-2</v>
      </c>
      <c r="C18" t="str">
        <f t="shared" si="7"/>
        <v>Nov 2024-NorCal-2</v>
      </c>
      <c r="D18">
        <f t="shared" si="0"/>
        <v>2</v>
      </c>
      <c r="E18">
        <f t="shared" si="8"/>
        <v>2.02</v>
      </c>
      <c r="F18">
        <f t="shared" si="1"/>
        <v>2</v>
      </c>
      <c r="G18">
        <f t="shared" si="2"/>
        <v>2</v>
      </c>
      <c r="H18" t="str">
        <f>IF(V18="","",IFERROR(VLOOKUP(TRIM($V18),KEY!$B$2:$E$58,3,FALSE),""))</f>
        <v>NorCal</v>
      </c>
      <c r="I18" t="str">
        <f t="shared" si="9"/>
        <v>WEST-18</v>
      </c>
      <c r="J18" t="str">
        <f t="shared" si="10"/>
        <v>Nov 2024-WEST-18</v>
      </c>
      <c r="K18">
        <f t="shared" si="11"/>
        <v>18</v>
      </c>
      <c r="L18">
        <f t="shared" si="12"/>
        <v>18.149999999999999</v>
      </c>
      <c r="M18">
        <f>IF(V18="","",IFERROR(VLOOKUP(TRIM($V18),KEY!$B$2:$E$58,4,FALSE),""))</f>
        <v>15</v>
      </c>
      <c r="N18">
        <f t="shared" si="13"/>
        <v>18</v>
      </c>
      <c r="O18" t="str">
        <f t="shared" si="14"/>
        <v>AC-2</v>
      </c>
      <c r="P18">
        <f t="shared" si="3"/>
        <v>2</v>
      </c>
      <c r="Q18">
        <f t="shared" si="15"/>
        <v>2.0299999999999998</v>
      </c>
      <c r="R18">
        <f t="shared" si="4"/>
        <v>3</v>
      </c>
      <c r="S18">
        <f t="shared" si="5"/>
        <v>2</v>
      </c>
      <c r="T18" t="str">
        <f>IF(V18="","",IFERROR(VLOOKUP(TRIM($V18),KEY!$B$2:$E$58,2,FALSE),""))</f>
        <v>AC</v>
      </c>
      <c r="V18" s="64" t="s">
        <v>262</v>
      </c>
      <c r="W18" s="64">
        <v>3</v>
      </c>
      <c r="X18" s="64">
        <v>1</v>
      </c>
      <c r="Y18" s="64">
        <v>0.33333333333333331</v>
      </c>
      <c r="Z18" s="64">
        <v>0</v>
      </c>
      <c r="AA18" s="64">
        <v>1</v>
      </c>
      <c r="AB18" s="64">
        <v>0</v>
      </c>
      <c r="AC18" s="64">
        <v>2</v>
      </c>
      <c r="AD18" s="64">
        <v>3</v>
      </c>
      <c r="AE18" s="64">
        <v>1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</row>
    <row r="19" spans="2:39" x14ac:dyDescent="0.2">
      <c r="B19" t="str">
        <f t="shared" si="6"/>
        <v>NorCal-7</v>
      </c>
      <c r="C19" t="str">
        <f t="shared" si="7"/>
        <v>Nov 2024-NorCal-7</v>
      </c>
      <c r="D19">
        <f t="shared" si="0"/>
        <v>7</v>
      </c>
      <c r="E19">
        <f t="shared" si="8"/>
        <v>7.03</v>
      </c>
      <c r="F19">
        <f t="shared" si="1"/>
        <v>3</v>
      </c>
      <c r="G19">
        <f t="shared" si="2"/>
        <v>7</v>
      </c>
      <c r="H19" t="str">
        <f>IF(V19="","",IFERROR(VLOOKUP(TRIM($V19),KEY!$B$2:$E$58,3,FALSE),""))</f>
        <v>NorCal</v>
      </c>
      <c r="I19" t="str">
        <f t="shared" si="9"/>
        <v>WEST-32</v>
      </c>
      <c r="J19" t="str">
        <f t="shared" si="10"/>
        <v>Nov 2024-WEST-32</v>
      </c>
      <c r="K19">
        <f t="shared" si="11"/>
        <v>32</v>
      </c>
      <c r="L19">
        <f t="shared" si="12"/>
        <v>32.159999999999997</v>
      </c>
      <c r="M19">
        <f>IF(V19="","",IFERROR(VLOOKUP(TRIM($V19),KEY!$B$2:$E$58,4,FALSE),""))</f>
        <v>16</v>
      </c>
      <c r="N19">
        <f t="shared" si="13"/>
        <v>32</v>
      </c>
      <c r="O19" t="str">
        <f t="shared" si="14"/>
        <v>HO-6</v>
      </c>
      <c r="P19">
        <f t="shared" si="3"/>
        <v>6</v>
      </c>
      <c r="Q19">
        <f t="shared" si="15"/>
        <v>5.01</v>
      </c>
      <c r="R19">
        <f t="shared" si="4"/>
        <v>1</v>
      </c>
      <c r="S19">
        <f t="shared" si="5"/>
        <v>5</v>
      </c>
      <c r="T19" t="str">
        <f>IF(V19="","",IFERROR(VLOOKUP(TRIM($V19),KEY!$B$2:$E$58,2,FALSE),""))</f>
        <v>HO</v>
      </c>
      <c r="V19" s="64" t="s">
        <v>22</v>
      </c>
      <c r="W19" s="64">
        <v>14</v>
      </c>
      <c r="X19" s="64">
        <v>3</v>
      </c>
      <c r="Y19" s="64">
        <v>0.21428571428571427</v>
      </c>
      <c r="Z19" s="64">
        <v>0</v>
      </c>
      <c r="AA19" s="64">
        <v>3</v>
      </c>
      <c r="AB19" s="64">
        <v>0</v>
      </c>
      <c r="AC19" s="64">
        <v>8</v>
      </c>
      <c r="AD19" s="64">
        <v>11</v>
      </c>
      <c r="AE19" s="64">
        <v>0.7857142857142857</v>
      </c>
      <c r="AF19" s="64">
        <v>3</v>
      </c>
      <c r="AG19" s="64">
        <v>0</v>
      </c>
      <c r="AH19" s="64">
        <v>0</v>
      </c>
      <c r="AI19" s="64">
        <v>0.21428571428571427</v>
      </c>
      <c r="AJ19" s="64">
        <v>0</v>
      </c>
      <c r="AK19" s="64">
        <v>0</v>
      </c>
      <c r="AL19" s="64">
        <v>0</v>
      </c>
      <c r="AM19" s="64">
        <v>0</v>
      </c>
    </row>
    <row r="20" spans="2:39" x14ac:dyDescent="0.2">
      <c r="B20" t="str">
        <f t="shared" ref="B20" si="16">IF(V20="","",H20&amp;"-"&amp;D20)</f>
        <v>OC-3</v>
      </c>
      <c r="C20" t="str">
        <f t="shared" ref="C20" si="17">IF(V20="","",$W$1&amp;"-"&amp;B20)</f>
        <v>Nov 2024-OC-3</v>
      </c>
      <c r="D20">
        <f t="shared" si="0"/>
        <v>3</v>
      </c>
      <c r="E20">
        <f t="shared" ref="E20" si="18">IF(V20="","",G20+(F20/100))</f>
        <v>2.04</v>
      </c>
      <c r="F20">
        <f t="shared" si="1"/>
        <v>4</v>
      </c>
      <c r="G20">
        <f t="shared" si="2"/>
        <v>2</v>
      </c>
      <c r="H20" t="str">
        <f>IF(V20="","",IFERROR(VLOOKUP(TRIM($V20),KEY!$B$2:$E$58,3,FALSE),""))</f>
        <v>OC</v>
      </c>
      <c r="I20" t="str">
        <f t="shared" ref="I20" si="19">IF(V20="","","WEST-"&amp;K20)</f>
        <v>WEST-13</v>
      </c>
      <c r="J20" t="str">
        <f t="shared" ref="J20" si="20">IF(V20="","",$W$1&amp;"-"&amp;I20)</f>
        <v>Nov 2024-WEST-13</v>
      </c>
      <c r="K20">
        <f t="shared" si="11"/>
        <v>13</v>
      </c>
      <c r="L20">
        <f t="shared" si="12"/>
        <v>13.17</v>
      </c>
      <c r="M20">
        <f>IF(V20="","",IFERROR(VLOOKUP(TRIM($V20),KEY!$B$2:$E$58,4,FALSE),""))</f>
        <v>17</v>
      </c>
      <c r="N20">
        <f t="shared" si="13"/>
        <v>13</v>
      </c>
      <c r="O20" t="str">
        <f t="shared" ref="O20" si="21">IF(V20="","",T20&amp;"-"&amp;P20)</f>
        <v>BM-3</v>
      </c>
      <c r="P20">
        <f t="shared" si="3"/>
        <v>3</v>
      </c>
      <c r="Q20">
        <f t="shared" ref="Q20" si="22">IF(V20="","",S20+(R20/100))</f>
        <v>3.06</v>
      </c>
      <c r="R20">
        <f t="shared" si="4"/>
        <v>6</v>
      </c>
      <c r="S20">
        <f t="shared" si="5"/>
        <v>3</v>
      </c>
      <c r="T20" t="str">
        <f>IF(V20="","",IFERROR(VLOOKUP(TRIM($V20),KEY!$B$2:$E$58,2,FALSE),""))</f>
        <v>BM</v>
      </c>
      <c r="V20" s="64" t="s">
        <v>20</v>
      </c>
      <c r="W20" s="64">
        <v>137</v>
      </c>
      <c r="X20" s="64">
        <v>55</v>
      </c>
      <c r="Y20" s="64">
        <v>0.40145985401459855</v>
      </c>
      <c r="Z20" s="64">
        <v>1</v>
      </c>
      <c r="AA20" s="64">
        <v>55</v>
      </c>
      <c r="AB20" s="64">
        <v>11</v>
      </c>
      <c r="AC20" s="64">
        <v>20</v>
      </c>
      <c r="AD20" s="64">
        <v>87</v>
      </c>
      <c r="AE20" s="64">
        <v>0.63503649635036497</v>
      </c>
      <c r="AF20" s="64">
        <v>0</v>
      </c>
      <c r="AG20" s="64">
        <v>0</v>
      </c>
      <c r="AH20" s="64">
        <v>0</v>
      </c>
      <c r="AI20" s="64">
        <v>0</v>
      </c>
      <c r="AJ20" s="64">
        <v>31</v>
      </c>
      <c r="AK20" s="64">
        <v>19</v>
      </c>
      <c r="AL20" s="64">
        <v>0</v>
      </c>
      <c r="AM20" s="64">
        <v>0.36496350364963503</v>
      </c>
    </row>
    <row r="21" spans="2:39" x14ac:dyDescent="0.2">
      <c r="B21" t="str">
        <f t="shared" si="6"/>
        <v>OC-1</v>
      </c>
      <c r="C21" t="str">
        <f t="shared" si="7"/>
        <v>Nov 2024-OC-1</v>
      </c>
      <c r="D21">
        <f t="shared" si="0"/>
        <v>1</v>
      </c>
      <c r="E21">
        <f t="shared" si="8"/>
        <v>1.05</v>
      </c>
      <c r="F21">
        <f t="shared" si="1"/>
        <v>5</v>
      </c>
      <c r="G21">
        <f t="shared" si="2"/>
        <v>1</v>
      </c>
      <c r="H21" t="str">
        <f>IF(V21="","",IFERROR(VLOOKUP(TRIM($V21),KEY!$B$2:$E$58,3,FALSE),""))</f>
        <v>OC</v>
      </c>
      <c r="I21" t="str">
        <f t="shared" si="9"/>
        <v>WEST-5</v>
      </c>
      <c r="J21" t="str">
        <f t="shared" si="10"/>
        <v>Nov 2024-WEST-5</v>
      </c>
      <c r="K21">
        <f t="shared" si="11"/>
        <v>5</v>
      </c>
      <c r="L21">
        <f t="shared" si="12"/>
        <v>5.18</v>
      </c>
      <c r="M21">
        <f>IF(V21="","",IFERROR(VLOOKUP(TRIM($V21),KEY!$B$2:$E$58,4,FALSE),""))</f>
        <v>18</v>
      </c>
      <c r="N21">
        <f t="shared" si="13"/>
        <v>5</v>
      </c>
      <c r="O21" t="str">
        <f t="shared" si="14"/>
        <v>MI-1</v>
      </c>
      <c r="P21">
        <f t="shared" si="3"/>
        <v>1</v>
      </c>
      <c r="Q21">
        <f t="shared" si="15"/>
        <v>1.01</v>
      </c>
      <c r="R21">
        <f t="shared" si="4"/>
        <v>1</v>
      </c>
      <c r="S21">
        <f t="shared" si="5"/>
        <v>1</v>
      </c>
      <c r="T21" t="str">
        <f>IF(V21="","",IFERROR(VLOOKUP(TRIM($V21),KEY!$B$2:$E$58,2,FALSE),""))</f>
        <v>MI</v>
      </c>
      <c r="V21" s="64" t="s">
        <v>37</v>
      </c>
      <c r="W21" s="64">
        <v>5</v>
      </c>
      <c r="X21" s="64">
        <v>3</v>
      </c>
      <c r="Y21" s="64">
        <v>0.6</v>
      </c>
      <c r="Z21" s="64">
        <v>0</v>
      </c>
      <c r="AA21" s="64">
        <v>3</v>
      </c>
      <c r="AB21" s="64">
        <v>1</v>
      </c>
      <c r="AC21" s="64">
        <v>1</v>
      </c>
      <c r="AD21" s="64">
        <v>5</v>
      </c>
      <c r="AE21" s="64">
        <v>1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</row>
    <row r="22" spans="2:39" x14ac:dyDescent="0.2">
      <c r="B22" t="str">
        <f t="shared" si="6"/>
        <v>TX-1</v>
      </c>
      <c r="C22" t="str">
        <f t="shared" si="7"/>
        <v>Nov 2024-TX-1</v>
      </c>
      <c r="D22">
        <f t="shared" si="0"/>
        <v>1</v>
      </c>
      <c r="E22">
        <f t="shared" si="8"/>
        <v>1.02</v>
      </c>
      <c r="F22">
        <f t="shared" si="1"/>
        <v>2</v>
      </c>
      <c r="G22">
        <f t="shared" si="2"/>
        <v>1</v>
      </c>
      <c r="H22" t="str">
        <f>IF(V22="","",IFERROR(VLOOKUP(TRIM($V22),KEY!$B$2:$E$58,3,FALSE),""))</f>
        <v>TX</v>
      </c>
      <c r="I22" t="str">
        <f t="shared" si="9"/>
        <v>WEST--</v>
      </c>
      <c r="J22" t="str">
        <f t="shared" si="10"/>
        <v>Nov 2024-WEST--</v>
      </c>
      <c r="K22" t="str">
        <f t="shared" si="11"/>
        <v>-</v>
      </c>
      <c r="L22" t="str">
        <f t="shared" si="12"/>
        <v>-</v>
      </c>
      <c r="M22">
        <f>IF(V22="","",IFERROR(VLOOKUP(TRIM($V22),KEY!$B$2:$E$58,4,FALSE),""))</f>
        <v>19</v>
      </c>
      <c r="N22" t="str">
        <f t="shared" si="13"/>
        <v>-</v>
      </c>
      <c r="O22" t="str">
        <f t="shared" si="14"/>
        <v>GE-1</v>
      </c>
      <c r="P22">
        <f t="shared" si="3"/>
        <v>1</v>
      </c>
      <c r="Q22">
        <f t="shared" si="15"/>
        <v>1.01</v>
      </c>
      <c r="R22">
        <f t="shared" si="4"/>
        <v>1</v>
      </c>
      <c r="S22">
        <f t="shared" si="5"/>
        <v>1</v>
      </c>
      <c r="T22" t="str">
        <f>IF(V22="","",IFERROR(VLOOKUP(TRIM($V22),KEY!$B$2:$E$58,2,FALSE),""))</f>
        <v>GE</v>
      </c>
      <c r="V22" s="64" t="s">
        <v>263</v>
      </c>
      <c r="W22" s="64">
        <v>0</v>
      </c>
      <c r="X22" s="64">
        <v>0</v>
      </c>
      <c r="Y22" s="64" t="s">
        <v>274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 t="s">
        <v>274</v>
      </c>
      <c r="AF22" s="64">
        <v>0</v>
      </c>
      <c r="AG22" s="64">
        <v>0</v>
      </c>
      <c r="AH22" s="64">
        <v>0</v>
      </c>
      <c r="AI22" s="64" t="s">
        <v>274</v>
      </c>
      <c r="AJ22" s="64">
        <v>0</v>
      </c>
      <c r="AK22" s="64">
        <v>0</v>
      </c>
      <c r="AL22" s="64">
        <v>0</v>
      </c>
      <c r="AM22" s="64" t="s">
        <v>274</v>
      </c>
    </row>
    <row r="23" spans="2:39" x14ac:dyDescent="0.2">
      <c r="B23" t="str">
        <f t="shared" si="6"/>
        <v>TX-2</v>
      </c>
      <c r="C23" t="str">
        <f t="shared" si="7"/>
        <v>Nov 2024-TX-2</v>
      </c>
      <c r="D23">
        <f t="shared" si="0"/>
        <v>2</v>
      </c>
      <c r="E23">
        <f t="shared" si="8"/>
        <v>1.03</v>
      </c>
      <c r="F23">
        <f t="shared" si="1"/>
        <v>3</v>
      </c>
      <c r="G23">
        <f t="shared" si="2"/>
        <v>1</v>
      </c>
      <c r="H23" t="str">
        <f>IF(V23="","",IFERROR(VLOOKUP(TRIM($V23),KEY!$B$2:$E$58,3,FALSE),""))</f>
        <v>TX</v>
      </c>
      <c r="I23" t="str">
        <f t="shared" si="9"/>
        <v>WEST--</v>
      </c>
      <c r="J23" t="str">
        <f t="shared" si="10"/>
        <v>Nov 2024-WEST--</v>
      </c>
      <c r="K23" t="str">
        <f t="shared" si="11"/>
        <v>-</v>
      </c>
      <c r="L23" t="str">
        <f t="shared" si="12"/>
        <v>-</v>
      </c>
      <c r="M23">
        <f>IF(V23="","",IFERROR(VLOOKUP(TRIM($V23),KEY!$B$2:$E$58,4,FALSE),""))</f>
        <v>20</v>
      </c>
      <c r="N23" t="str">
        <f t="shared" si="13"/>
        <v>-</v>
      </c>
      <c r="O23" t="str">
        <f t="shared" si="14"/>
        <v>HO-1</v>
      </c>
      <c r="P23">
        <f t="shared" si="3"/>
        <v>1</v>
      </c>
      <c r="Q23">
        <f t="shared" si="15"/>
        <v>1.02</v>
      </c>
      <c r="R23">
        <f t="shared" si="4"/>
        <v>2</v>
      </c>
      <c r="S23">
        <f t="shared" si="5"/>
        <v>1</v>
      </c>
      <c r="T23" t="str">
        <f>IF(V23="","",IFERROR(VLOOKUP(TRIM($V23),KEY!$B$2:$E$58,2,FALSE),""))</f>
        <v>HO</v>
      </c>
      <c r="V23" s="64" t="s">
        <v>239</v>
      </c>
      <c r="W23" s="64">
        <v>0</v>
      </c>
      <c r="X23" s="64">
        <v>0</v>
      </c>
      <c r="Y23" s="64" t="s">
        <v>274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 t="s">
        <v>274</v>
      </c>
      <c r="AF23" s="64">
        <v>0</v>
      </c>
      <c r="AG23" s="64">
        <v>0</v>
      </c>
      <c r="AH23" s="64">
        <v>0</v>
      </c>
      <c r="AI23" s="64" t="s">
        <v>274</v>
      </c>
      <c r="AJ23" s="64">
        <v>0</v>
      </c>
      <c r="AK23" s="64">
        <v>0</v>
      </c>
      <c r="AL23" s="64">
        <v>0</v>
      </c>
      <c r="AM23" s="64" t="s">
        <v>274</v>
      </c>
    </row>
    <row r="24" spans="2:39" x14ac:dyDescent="0.2">
      <c r="B24" t="str">
        <f t="shared" si="6"/>
        <v>NorCal-3</v>
      </c>
      <c r="C24" t="str">
        <f t="shared" si="7"/>
        <v>Nov 2024-NorCal-3</v>
      </c>
      <c r="D24">
        <f t="shared" si="0"/>
        <v>3</v>
      </c>
      <c r="E24">
        <f t="shared" si="8"/>
        <v>3.04</v>
      </c>
      <c r="F24">
        <f t="shared" si="1"/>
        <v>4</v>
      </c>
      <c r="G24">
        <f t="shared" si="2"/>
        <v>3</v>
      </c>
      <c r="H24" t="str">
        <f>IF(V24="","",IFERROR(VLOOKUP(TRIM($V24),KEY!$B$2:$E$58,3,FALSE),""))</f>
        <v>NorCal</v>
      </c>
      <c r="I24" t="str">
        <f t="shared" si="9"/>
        <v>WEST-20</v>
      </c>
      <c r="J24" t="str">
        <f t="shared" si="10"/>
        <v>Nov 2024-WEST-20</v>
      </c>
      <c r="K24">
        <f t="shared" si="11"/>
        <v>20</v>
      </c>
      <c r="L24">
        <f t="shared" si="12"/>
        <v>20.21</v>
      </c>
      <c r="M24">
        <f>IF(V24="","",IFERROR(VLOOKUP(TRIM($V24),KEY!$B$2:$E$58,4,FALSE),""))</f>
        <v>21</v>
      </c>
      <c r="N24">
        <f t="shared" si="13"/>
        <v>20</v>
      </c>
      <c r="O24" t="str">
        <f t="shared" si="14"/>
        <v>HO-5</v>
      </c>
      <c r="P24">
        <f t="shared" si="3"/>
        <v>5</v>
      </c>
      <c r="Q24">
        <f t="shared" si="15"/>
        <v>4.03</v>
      </c>
      <c r="R24">
        <f t="shared" si="4"/>
        <v>3</v>
      </c>
      <c r="S24">
        <f t="shared" si="5"/>
        <v>4</v>
      </c>
      <c r="T24" t="str">
        <f>IF(V24="","",IFERROR(VLOOKUP(TRIM($V24),KEY!$B$2:$E$58,2,FALSE),""))</f>
        <v>HO</v>
      </c>
      <c r="V24" s="64" t="s">
        <v>23</v>
      </c>
      <c r="W24" s="64">
        <v>13</v>
      </c>
      <c r="X24" s="64">
        <v>4</v>
      </c>
      <c r="Y24" s="64">
        <v>0.30769230769230771</v>
      </c>
      <c r="Z24" s="64">
        <v>0</v>
      </c>
      <c r="AA24" s="64">
        <v>4</v>
      </c>
      <c r="AB24" s="64">
        <v>1</v>
      </c>
      <c r="AC24" s="64">
        <v>2</v>
      </c>
      <c r="AD24" s="64">
        <v>7</v>
      </c>
      <c r="AE24" s="64">
        <v>0.53846153846153844</v>
      </c>
      <c r="AF24" s="64">
        <v>3</v>
      </c>
      <c r="AG24" s="64">
        <v>0</v>
      </c>
      <c r="AH24" s="64">
        <v>0</v>
      </c>
      <c r="AI24" s="64">
        <v>0.23076923076923078</v>
      </c>
      <c r="AJ24" s="64">
        <v>1</v>
      </c>
      <c r="AK24" s="64">
        <v>2</v>
      </c>
      <c r="AL24" s="64">
        <v>0</v>
      </c>
      <c r="AM24" s="64">
        <v>0.23076923076923078</v>
      </c>
    </row>
    <row r="25" spans="2:39" x14ac:dyDescent="0.2">
      <c r="B25" t="str">
        <f t="shared" si="6"/>
        <v>SoCal-4</v>
      </c>
      <c r="C25" t="str">
        <f t="shared" si="7"/>
        <v>Nov 2024-SoCal-4</v>
      </c>
      <c r="D25">
        <f t="shared" si="0"/>
        <v>4</v>
      </c>
      <c r="E25">
        <f t="shared" si="8"/>
        <v>4.05</v>
      </c>
      <c r="F25">
        <f t="shared" si="1"/>
        <v>5</v>
      </c>
      <c r="G25">
        <f t="shared" si="2"/>
        <v>4</v>
      </c>
      <c r="H25" t="str">
        <f>IF(V25="","",IFERROR(VLOOKUP(TRIM($V25),KEY!$B$2:$E$58,3,FALSE),""))</f>
        <v>SoCal</v>
      </c>
      <c r="I25" t="str">
        <f t="shared" si="9"/>
        <v>WEST-14</v>
      </c>
      <c r="J25" t="str">
        <f t="shared" si="10"/>
        <v>Nov 2024-WEST-14</v>
      </c>
      <c r="K25">
        <f t="shared" si="11"/>
        <v>14</v>
      </c>
      <c r="L25">
        <f t="shared" si="12"/>
        <v>14.22</v>
      </c>
      <c r="M25">
        <f>IF(V25="","",IFERROR(VLOOKUP(TRIM($V25),KEY!$B$2:$E$58,4,FALSE),""))</f>
        <v>22</v>
      </c>
      <c r="N25">
        <f t="shared" si="13"/>
        <v>14</v>
      </c>
      <c r="O25" t="str">
        <f t="shared" si="14"/>
        <v>HO-4</v>
      </c>
      <c r="P25">
        <f t="shared" si="3"/>
        <v>4</v>
      </c>
      <c r="Q25">
        <f t="shared" si="15"/>
        <v>3.04</v>
      </c>
      <c r="R25">
        <f t="shared" si="4"/>
        <v>4</v>
      </c>
      <c r="S25">
        <f t="shared" si="5"/>
        <v>3</v>
      </c>
      <c r="T25" t="str">
        <f>IF(V25="","",IFERROR(VLOOKUP(TRIM($V25),KEY!$B$2:$E$58,2,FALSE),""))</f>
        <v>HO</v>
      </c>
      <c r="V25" s="64" t="s">
        <v>24</v>
      </c>
      <c r="W25" s="64">
        <v>15</v>
      </c>
      <c r="X25" s="64">
        <v>6</v>
      </c>
      <c r="Y25" s="64">
        <v>0.4</v>
      </c>
      <c r="Z25" s="64">
        <v>0</v>
      </c>
      <c r="AA25" s="64">
        <v>6</v>
      </c>
      <c r="AB25" s="64">
        <v>2</v>
      </c>
      <c r="AC25" s="64">
        <v>2</v>
      </c>
      <c r="AD25" s="64">
        <v>10</v>
      </c>
      <c r="AE25" s="64">
        <v>0.66666666666666663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5</v>
      </c>
      <c r="AL25" s="64">
        <v>0</v>
      </c>
      <c r="AM25" s="64">
        <v>0.33333333333333331</v>
      </c>
    </row>
    <row r="26" spans="2:39" x14ac:dyDescent="0.2">
      <c r="B26" t="str">
        <f t="shared" si="6"/>
        <v>TX-8</v>
      </c>
      <c r="C26" t="str">
        <f t="shared" si="7"/>
        <v>Nov 2024-TX-8</v>
      </c>
      <c r="D26">
        <f t="shared" si="0"/>
        <v>8</v>
      </c>
      <c r="E26">
        <f t="shared" si="8"/>
        <v>6.04</v>
      </c>
      <c r="F26">
        <f t="shared" si="1"/>
        <v>4</v>
      </c>
      <c r="G26">
        <f t="shared" si="2"/>
        <v>6</v>
      </c>
      <c r="H26" t="str">
        <f>IF(V26="","",IFERROR(VLOOKUP(TRIM($V26),KEY!$B$2:$E$58,3,FALSE),""))</f>
        <v>TX</v>
      </c>
      <c r="I26" t="str">
        <f t="shared" si="9"/>
        <v>WEST-28</v>
      </c>
      <c r="J26" t="str">
        <f t="shared" si="10"/>
        <v>Nov 2024-WEST-28</v>
      </c>
      <c r="K26">
        <f t="shared" si="11"/>
        <v>28</v>
      </c>
      <c r="L26">
        <f t="shared" si="12"/>
        <v>27.23</v>
      </c>
      <c r="M26">
        <f>IF(V26="","",IFERROR(VLOOKUP(TRIM($V26),KEY!$B$2:$E$58,4,FALSE),""))</f>
        <v>23</v>
      </c>
      <c r="N26">
        <f t="shared" si="13"/>
        <v>27</v>
      </c>
      <c r="O26" t="str">
        <f t="shared" si="14"/>
        <v>HY-1</v>
      </c>
      <c r="P26">
        <f t="shared" si="3"/>
        <v>1</v>
      </c>
      <c r="Q26">
        <f t="shared" si="15"/>
        <v>1.01</v>
      </c>
      <c r="R26">
        <f t="shared" si="4"/>
        <v>1</v>
      </c>
      <c r="S26">
        <f t="shared" si="5"/>
        <v>1</v>
      </c>
      <c r="T26" t="str">
        <f>IF(V26="","",IFERROR(VLOOKUP(TRIM($V26),KEY!$B$2:$E$58,2,FALSE),""))</f>
        <v>HY</v>
      </c>
      <c r="V26" s="64" t="s">
        <v>27</v>
      </c>
      <c r="W26" s="64">
        <v>4</v>
      </c>
      <c r="X26" s="64">
        <v>1</v>
      </c>
      <c r="Y26" s="64">
        <v>0.25</v>
      </c>
      <c r="Z26" s="64">
        <v>0</v>
      </c>
      <c r="AA26" s="64">
        <v>1</v>
      </c>
      <c r="AB26" s="64">
        <v>0</v>
      </c>
      <c r="AC26" s="64">
        <v>0</v>
      </c>
      <c r="AD26" s="64">
        <v>1</v>
      </c>
      <c r="AE26" s="64">
        <v>0.25</v>
      </c>
      <c r="AF26" s="64">
        <v>3</v>
      </c>
      <c r="AG26" s="64">
        <v>0</v>
      </c>
      <c r="AH26" s="64">
        <v>0</v>
      </c>
      <c r="AI26" s="64">
        <v>0.75</v>
      </c>
      <c r="AJ26" s="64">
        <v>0</v>
      </c>
      <c r="AK26" s="64">
        <v>0</v>
      </c>
      <c r="AL26" s="64">
        <v>0</v>
      </c>
      <c r="AM26" s="64">
        <v>0</v>
      </c>
    </row>
    <row r="27" spans="2:39" x14ac:dyDescent="0.2">
      <c r="B27" t="str">
        <f t="shared" si="6"/>
        <v>SoCal-11</v>
      </c>
      <c r="C27" t="str">
        <f t="shared" si="7"/>
        <v>Nov 2024-SoCal-11</v>
      </c>
      <c r="D27">
        <f t="shared" si="0"/>
        <v>11</v>
      </c>
      <c r="E27">
        <f t="shared" si="8"/>
        <v>11.06</v>
      </c>
      <c r="F27">
        <f t="shared" si="1"/>
        <v>6</v>
      </c>
      <c r="G27">
        <f t="shared" si="2"/>
        <v>11</v>
      </c>
      <c r="H27" t="str">
        <f>IF(V27="","",IFERROR(VLOOKUP(TRIM($V27),KEY!$B$2:$E$58,3,FALSE),""))</f>
        <v>SoCal</v>
      </c>
      <c r="I27" t="str">
        <f t="shared" si="9"/>
        <v>WEST-43</v>
      </c>
      <c r="J27" t="str">
        <f t="shared" si="10"/>
        <v>Nov 2024-WEST-43</v>
      </c>
      <c r="K27">
        <f t="shared" si="11"/>
        <v>43</v>
      </c>
      <c r="L27">
        <f t="shared" si="12"/>
        <v>41.24</v>
      </c>
      <c r="M27">
        <f>IF(V27="","",IFERROR(VLOOKUP(TRIM($V27),KEY!$B$2:$E$58,4,FALSE),""))</f>
        <v>24</v>
      </c>
      <c r="N27">
        <f t="shared" si="13"/>
        <v>41</v>
      </c>
      <c r="O27" t="str">
        <f t="shared" si="14"/>
        <v>AC-4</v>
      </c>
      <c r="P27">
        <f t="shared" si="3"/>
        <v>4</v>
      </c>
      <c r="Q27">
        <f t="shared" si="15"/>
        <v>4.04</v>
      </c>
      <c r="R27">
        <f t="shared" si="4"/>
        <v>4</v>
      </c>
      <c r="S27">
        <f t="shared" si="5"/>
        <v>4</v>
      </c>
      <c r="T27" t="str">
        <f>IF(V27="","",IFERROR(VLOOKUP(TRIM($V27),KEY!$B$2:$E$58,2,FALSE),""))</f>
        <v>AC</v>
      </c>
      <c r="V27" s="64" t="s">
        <v>73</v>
      </c>
      <c r="W27" s="64">
        <v>3</v>
      </c>
      <c r="X27" s="64">
        <v>0</v>
      </c>
      <c r="Y27" s="64">
        <v>0</v>
      </c>
      <c r="Z27" s="64">
        <v>0</v>
      </c>
      <c r="AA27" s="64">
        <v>0</v>
      </c>
      <c r="AB27" s="64">
        <v>1</v>
      </c>
      <c r="AC27" s="64">
        <v>1</v>
      </c>
      <c r="AD27" s="64">
        <v>2</v>
      </c>
      <c r="AE27" s="64">
        <v>0.66666666666666663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1</v>
      </c>
      <c r="AL27" s="64">
        <v>0</v>
      </c>
      <c r="AM27" s="64">
        <v>0.33333333333333331</v>
      </c>
    </row>
    <row r="28" spans="2:39" x14ac:dyDescent="0.2">
      <c r="B28" t="str">
        <f t="shared" si="6"/>
        <v>SoCal-10</v>
      </c>
      <c r="C28" t="str">
        <f t="shared" si="7"/>
        <v>Nov 2024-SoCal-10</v>
      </c>
      <c r="D28">
        <f t="shared" si="0"/>
        <v>10</v>
      </c>
      <c r="E28">
        <f t="shared" si="8"/>
        <v>9.07</v>
      </c>
      <c r="F28">
        <f t="shared" si="1"/>
        <v>7</v>
      </c>
      <c r="G28">
        <f t="shared" si="2"/>
        <v>9</v>
      </c>
      <c r="H28" t="str">
        <f>IF(V28="","",IFERROR(VLOOKUP(TRIM($V28),KEY!$B$2:$E$58,3,FALSE),""))</f>
        <v>SoCal</v>
      </c>
      <c r="I28" t="str">
        <f t="shared" si="9"/>
        <v>WEST-37</v>
      </c>
      <c r="J28" t="str">
        <f t="shared" si="10"/>
        <v>Nov 2024-WEST-37</v>
      </c>
      <c r="K28">
        <f t="shared" si="11"/>
        <v>37</v>
      </c>
      <c r="L28">
        <f t="shared" si="12"/>
        <v>36.25</v>
      </c>
      <c r="M28">
        <f>IF(V28="","",IFERROR(VLOOKUP(TRIM($V28),KEY!$B$2:$E$58,4,FALSE),""))</f>
        <v>25</v>
      </c>
      <c r="N28">
        <f t="shared" si="13"/>
        <v>36</v>
      </c>
      <c r="O28" t="str">
        <f t="shared" si="14"/>
        <v>TO-4</v>
      </c>
      <c r="P28">
        <f t="shared" si="3"/>
        <v>4</v>
      </c>
      <c r="Q28">
        <f t="shared" si="15"/>
        <v>4.01</v>
      </c>
      <c r="R28">
        <f t="shared" si="4"/>
        <v>1</v>
      </c>
      <c r="S28">
        <f t="shared" si="5"/>
        <v>4</v>
      </c>
      <c r="T28" t="str">
        <f>IF(V28="","",IFERROR(VLOOKUP(TRIM($V28),KEY!$B$2:$E$58,2,FALSE),""))</f>
        <v>TO</v>
      </c>
      <c r="V28" s="64" t="s">
        <v>49</v>
      </c>
      <c r="W28" s="64">
        <v>7</v>
      </c>
      <c r="X28" s="64">
        <v>1</v>
      </c>
      <c r="Y28" s="64">
        <v>0.14285714285714285</v>
      </c>
      <c r="Z28" s="64">
        <v>0</v>
      </c>
      <c r="AA28" s="64">
        <v>1</v>
      </c>
      <c r="AB28" s="64">
        <v>1</v>
      </c>
      <c r="AC28" s="64">
        <v>3</v>
      </c>
      <c r="AD28" s="64">
        <v>5</v>
      </c>
      <c r="AE28" s="64">
        <v>0.7142857142857143</v>
      </c>
      <c r="AF28" s="64">
        <v>2</v>
      </c>
      <c r="AG28" s="64">
        <v>0</v>
      </c>
      <c r="AH28" s="64">
        <v>0</v>
      </c>
      <c r="AI28" s="64">
        <v>0.2857142857142857</v>
      </c>
      <c r="AJ28" s="64">
        <v>0</v>
      </c>
      <c r="AK28" s="64">
        <v>0</v>
      </c>
      <c r="AL28" s="64">
        <v>0</v>
      </c>
      <c r="AM28" s="64">
        <v>0</v>
      </c>
    </row>
    <row r="29" spans="2:39" x14ac:dyDescent="0.2">
      <c r="B29" t="str">
        <f t="shared" si="6"/>
        <v>AZ-13</v>
      </c>
      <c r="C29" t="str">
        <f t="shared" si="7"/>
        <v>Nov 2024-AZ-13</v>
      </c>
      <c r="D29">
        <f t="shared" si="0"/>
        <v>13</v>
      </c>
      <c r="E29">
        <f t="shared" si="8"/>
        <v>12.06</v>
      </c>
      <c r="F29">
        <f t="shared" si="1"/>
        <v>6</v>
      </c>
      <c r="G29">
        <f t="shared" si="2"/>
        <v>12</v>
      </c>
      <c r="H29" t="str">
        <f>IF(V29="","",IFERROR(VLOOKUP(TRIM($V29),KEY!$B$2:$E$58,3,FALSE),""))</f>
        <v>AZ</v>
      </c>
      <c r="I29" t="str">
        <f t="shared" si="9"/>
        <v>WEST-44</v>
      </c>
      <c r="J29" t="str">
        <f t="shared" si="10"/>
        <v>Nov 2024-WEST-44</v>
      </c>
      <c r="K29">
        <f t="shared" si="11"/>
        <v>44</v>
      </c>
      <c r="L29">
        <f t="shared" si="12"/>
        <v>41.26</v>
      </c>
      <c r="M29">
        <f>IF(V29="","",IFERROR(VLOOKUP(TRIM($V29),KEY!$B$2:$E$58,4,FALSE),""))</f>
        <v>26</v>
      </c>
      <c r="N29">
        <f t="shared" si="13"/>
        <v>41</v>
      </c>
      <c r="O29" t="str">
        <f t="shared" si="14"/>
        <v>LA-1</v>
      </c>
      <c r="P29">
        <f t="shared" si="3"/>
        <v>1</v>
      </c>
      <c r="Q29">
        <f t="shared" si="15"/>
        <v>1.01</v>
      </c>
      <c r="R29">
        <f t="shared" si="4"/>
        <v>1</v>
      </c>
      <c r="S29">
        <f t="shared" si="5"/>
        <v>1</v>
      </c>
      <c r="T29" t="str">
        <f>IF(V29="","",IFERROR(VLOOKUP(TRIM($V29),KEY!$B$2:$E$58,2,FALSE),""))</f>
        <v>LA</v>
      </c>
      <c r="V29" s="64" t="s">
        <v>278</v>
      </c>
      <c r="W29" s="64">
        <v>1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1</v>
      </c>
      <c r="AI29" s="64">
        <v>1</v>
      </c>
      <c r="AJ29" s="64">
        <v>0</v>
      </c>
      <c r="AK29" s="64">
        <v>0</v>
      </c>
      <c r="AL29" s="64">
        <v>0</v>
      </c>
      <c r="AM29" s="64">
        <v>0</v>
      </c>
    </row>
    <row r="30" spans="2:39" x14ac:dyDescent="0.2">
      <c r="B30" t="str">
        <f t="shared" si="6"/>
        <v>AZ-14</v>
      </c>
      <c r="C30" t="str">
        <f t="shared" si="7"/>
        <v>Nov 2024-AZ-14</v>
      </c>
      <c r="D30">
        <f t="shared" si="0"/>
        <v>14</v>
      </c>
      <c r="E30">
        <f t="shared" si="8"/>
        <v>12.07</v>
      </c>
      <c r="F30">
        <f t="shared" si="1"/>
        <v>7</v>
      </c>
      <c r="G30">
        <f t="shared" si="2"/>
        <v>12</v>
      </c>
      <c r="H30" t="str">
        <f>IF(V30="","",IFERROR(VLOOKUP(TRIM($V30),KEY!$B$2:$E$58,3,FALSE),""))</f>
        <v>AZ</v>
      </c>
      <c r="I30" t="str">
        <f t="shared" si="9"/>
        <v>WEST-45</v>
      </c>
      <c r="J30" t="str">
        <f t="shared" si="10"/>
        <v>Nov 2024-WEST-45</v>
      </c>
      <c r="K30">
        <f t="shared" si="11"/>
        <v>45</v>
      </c>
      <c r="L30">
        <f t="shared" si="12"/>
        <v>41.27</v>
      </c>
      <c r="M30">
        <f>IF(V30="","",IFERROR(VLOOKUP(TRIM($V30),KEY!$B$2:$E$58,4,FALSE),""))</f>
        <v>27</v>
      </c>
      <c r="N30">
        <f t="shared" si="13"/>
        <v>41</v>
      </c>
      <c r="O30" t="str">
        <f t="shared" si="14"/>
        <v>JA-2</v>
      </c>
      <c r="P30">
        <f t="shared" si="3"/>
        <v>2</v>
      </c>
      <c r="Q30">
        <f t="shared" si="15"/>
        <v>2.0099999999999998</v>
      </c>
      <c r="R30">
        <f t="shared" si="4"/>
        <v>1</v>
      </c>
      <c r="S30">
        <f t="shared" si="5"/>
        <v>2</v>
      </c>
      <c r="T30" t="str">
        <f>IF(V30="","",IFERROR(VLOOKUP(TRIM($V30),KEY!$B$2:$E$58,2,FALSE),""))</f>
        <v>JA</v>
      </c>
      <c r="V30" s="64" t="s">
        <v>261</v>
      </c>
      <c r="W30" s="64">
        <v>4</v>
      </c>
      <c r="X30" s="64">
        <v>0</v>
      </c>
      <c r="Y30" s="64">
        <v>0</v>
      </c>
      <c r="Z30" s="64">
        <v>0</v>
      </c>
      <c r="AA30" s="64">
        <v>0</v>
      </c>
      <c r="AB30" s="64">
        <v>1</v>
      </c>
      <c r="AC30" s="64">
        <v>1</v>
      </c>
      <c r="AD30" s="64">
        <v>2</v>
      </c>
      <c r="AE30" s="64">
        <v>0.5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2</v>
      </c>
      <c r="AL30" s="64">
        <v>0</v>
      </c>
      <c r="AM30" s="64">
        <v>0.5</v>
      </c>
    </row>
    <row r="31" spans="2:39" x14ac:dyDescent="0.2">
      <c r="B31" t="str">
        <f t="shared" si="6"/>
        <v>AZ-1</v>
      </c>
      <c r="C31" t="str">
        <f t="shared" si="7"/>
        <v>Nov 2024-AZ-1</v>
      </c>
      <c r="D31">
        <f t="shared" si="0"/>
        <v>1</v>
      </c>
      <c r="E31">
        <f t="shared" si="8"/>
        <v>1.08</v>
      </c>
      <c r="F31">
        <f t="shared" si="1"/>
        <v>8</v>
      </c>
      <c r="G31">
        <f t="shared" si="2"/>
        <v>1</v>
      </c>
      <c r="H31" t="str">
        <f>IF(V31="","",IFERROR(VLOOKUP(TRIM($V31),KEY!$B$2:$E$58,3,FALSE),""))</f>
        <v>AZ</v>
      </c>
      <c r="I31" t="str">
        <f t="shared" si="9"/>
        <v>WEST-1</v>
      </c>
      <c r="J31" t="str">
        <f t="shared" si="10"/>
        <v>Nov 2024-WEST-1</v>
      </c>
      <c r="K31">
        <f t="shared" si="11"/>
        <v>1</v>
      </c>
      <c r="L31">
        <f t="shared" si="12"/>
        <v>1.28</v>
      </c>
      <c r="M31">
        <f>IF(V31="","",IFERROR(VLOOKUP(TRIM($V31),KEY!$B$2:$E$58,4,FALSE),""))</f>
        <v>28</v>
      </c>
      <c r="N31">
        <f t="shared" si="13"/>
        <v>1</v>
      </c>
      <c r="O31" t="str">
        <f t="shared" si="14"/>
        <v>JA-1</v>
      </c>
      <c r="P31">
        <f t="shared" si="3"/>
        <v>1</v>
      </c>
      <c r="Q31">
        <f t="shared" si="15"/>
        <v>1.02</v>
      </c>
      <c r="R31">
        <f t="shared" si="4"/>
        <v>2</v>
      </c>
      <c r="S31">
        <f t="shared" si="5"/>
        <v>1</v>
      </c>
      <c r="T31" t="str">
        <f>IF(V31="","",IFERROR(VLOOKUP(TRIM($V31),KEY!$B$2:$E$58,2,FALSE),""))</f>
        <v>JA</v>
      </c>
      <c r="V31" s="64" t="s">
        <v>260</v>
      </c>
      <c r="W31" s="64">
        <v>1</v>
      </c>
      <c r="X31" s="64">
        <v>1</v>
      </c>
      <c r="Y31" s="64">
        <v>1</v>
      </c>
      <c r="Z31" s="64">
        <v>0</v>
      </c>
      <c r="AA31" s="64">
        <v>1</v>
      </c>
      <c r="AB31" s="64">
        <v>0</v>
      </c>
      <c r="AC31" s="64">
        <v>0</v>
      </c>
      <c r="AD31" s="64">
        <v>1</v>
      </c>
      <c r="AE31" s="64">
        <v>1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</row>
    <row r="32" spans="2:39" x14ac:dyDescent="0.2">
      <c r="B32" t="str">
        <f t="shared" ref="B32:B33" si="23">IF(V32="","",H32&amp;"-"&amp;D32)</f>
        <v>TX-3</v>
      </c>
      <c r="C32" t="str">
        <f t="shared" ref="C32:C33" si="24">IF(V32="","",$W$1&amp;"-"&amp;B32)</f>
        <v>Nov 2024-TX-3</v>
      </c>
      <c r="D32">
        <f t="shared" si="0"/>
        <v>3</v>
      </c>
      <c r="E32">
        <f t="shared" ref="E32:E33" si="25">IF(V32="","",G32+(F32/100))</f>
        <v>1.05</v>
      </c>
      <c r="F32">
        <f t="shared" si="1"/>
        <v>5</v>
      </c>
      <c r="G32">
        <f t="shared" si="2"/>
        <v>1</v>
      </c>
      <c r="H32" t="str">
        <f>IF(V32="","",IFERROR(VLOOKUP(TRIM($V32),KEY!$B$2:$E$58,3,FALSE),""))</f>
        <v>TX</v>
      </c>
      <c r="I32" t="str">
        <f t="shared" ref="I32:I33" si="26">IF(V32="","","WEST-"&amp;K32)</f>
        <v>WEST-2</v>
      </c>
      <c r="J32" t="str">
        <f t="shared" ref="J32:J33" si="27">IF(V32="","",$W$1&amp;"-"&amp;I32)</f>
        <v>Nov 2024-WEST-2</v>
      </c>
      <c r="K32">
        <f t="shared" si="11"/>
        <v>2</v>
      </c>
      <c r="L32">
        <f t="shared" si="12"/>
        <v>2.29</v>
      </c>
      <c r="M32">
        <f>IF(V32="","",IFERROR(VLOOKUP(TRIM($V32),KEY!$B$2:$E$58,4,FALSE),""))</f>
        <v>29</v>
      </c>
      <c r="N32">
        <f t="shared" si="13"/>
        <v>2</v>
      </c>
      <c r="O32" t="str">
        <f t="shared" ref="O32:O33" si="28">IF(V32="","",T32&amp;"-"&amp;P32)</f>
        <v>LE-1</v>
      </c>
      <c r="P32">
        <f t="shared" si="3"/>
        <v>1</v>
      </c>
      <c r="Q32">
        <f t="shared" ref="Q32:Q33" si="29">IF(V32="","",S32+(R32/100))</f>
        <v>1.01</v>
      </c>
      <c r="R32">
        <f t="shared" si="4"/>
        <v>1</v>
      </c>
      <c r="S32">
        <f t="shared" si="5"/>
        <v>1</v>
      </c>
      <c r="T32" t="str">
        <f>IF(V32="","",IFERROR(VLOOKUP(TRIM($V32),KEY!$B$2:$E$58,2,FALSE),""))</f>
        <v>LE</v>
      </c>
      <c r="V32" s="64" t="s">
        <v>29</v>
      </c>
      <c r="W32" s="64">
        <v>14</v>
      </c>
      <c r="X32" s="64">
        <v>11</v>
      </c>
      <c r="Y32" s="64">
        <v>0.7857142857142857</v>
      </c>
      <c r="Z32" s="64">
        <v>0</v>
      </c>
      <c r="AA32" s="64">
        <v>11</v>
      </c>
      <c r="AB32" s="64">
        <v>1</v>
      </c>
      <c r="AC32" s="64">
        <v>0</v>
      </c>
      <c r="AD32" s="64">
        <v>12</v>
      </c>
      <c r="AE32" s="64">
        <v>0.8571428571428571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2</v>
      </c>
      <c r="AL32" s="64">
        <v>0</v>
      </c>
      <c r="AM32" s="64">
        <v>0.14285714285714285</v>
      </c>
    </row>
    <row r="33" spans="2:39" x14ac:dyDescent="0.2">
      <c r="B33" t="str">
        <f t="shared" si="23"/>
        <v>AZ-15</v>
      </c>
      <c r="C33" t="str">
        <f t="shared" si="24"/>
        <v>Nov 2024-AZ-15</v>
      </c>
      <c r="D33">
        <f t="shared" si="0"/>
        <v>15</v>
      </c>
      <c r="E33">
        <f t="shared" si="25"/>
        <v>12.09</v>
      </c>
      <c r="F33">
        <f t="shared" si="1"/>
        <v>9</v>
      </c>
      <c r="G33">
        <f t="shared" si="2"/>
        <v>12</v>
      </c>
      <c r="H33" t="str">
        <f>IF(V33="","",IFERROR(VLOOKUP(TRIM($V33),KEY!$B$2:$E$58,3,FALSE),""))</f>
        <v>AZ</v>
      </c>
      <c r="I33" t="str">
        <f t="shared" si="26"/>
        <v>WEST-46</v>
      </c>
      <c r="J33" t="str">
        <f t="shared" si="27"/>
        <v>Nov 2024-WEST-46</v>
      </c>
      <c r="K33">
        <f t="shared" si="11"/>
        <v>46</v>
      </c>
      <c r="L33">
        <f t="shared" si="12"/>
        <v>41.3</v>
      </c>
      <c r="M33">
        <f>IF(V33="","",IFERROR(VLOOKUP(TRIM($V33),KEY!$B$2:$E$58,4,FALSE),""))</f>
        <v>30</v>
      </c>
      <c r="N33">
        <f t="shared" si="13"/>
        <v>41</v>
      </c>
      <c r="O33" t="str">
        <f t="shared" si="28"/>
        <v>LE-4</v>
      </c>
      <c r="P33">
        <f t="shared" si="3"/>
        <v>4</v>
      </c>
      <c r="Q33">
        <f t="shared" si="29"/>
        <v>4.0199999999999996</v>
      </c>
      <c r="R33">
        <f t="shared" si="4"/>
        <v>2</v>
      </c>
      <c r="S33">
        <f t="shared" si="5"/>
        <v>4</v>
      </c>
      <c r="T33" t="str">
        <f>IF(V33="","",IFERROR(VLOOKUP(TRIM($V33),KEY!$B$2:$E$58,2,FALSE),""))</f>
        <v>LE</v>
      </c>
      <c r="V33" s="64" t="s">
        <v>30</v>
      </c>
      <c r="W33" s="64">
        <v>1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1</v>
      </c>
      <c r="AI33" s="64">
        <v>1</v>
      </c>
      <c r="AJ33" s="64">
        <v>0</v>
      </c>
      <c r="AK33" s="64">
        <v>0</v>
      </c>
      <c r="AL33" s="64">
        <v>0</v>
      </c>
      <c r="AM33" s="64">
        <v>0</v>
      </c>
    </row>
    <row r="34" spans="2:39" x14ac:dyDescent="0.2">
      <c r="B34" t="str">
        <f t="shared" si="6"/>
        <v>TX-4</v>
      </c>
      <c r="C34" t="str">
        <f t="shared" si="7"/>
        <v>Nov 2024-TX-4</v>
      </c>
      <c r="D34">
        <f t="shared" si="0"/>
        <v>4</v>
      </c>
      <c r="E34">
        <f t="shared" si="8"/>
        <v>2.06</v>
      </c>
      <c r="F34">
        <f t="shared" si="1"/>
        <v>6</v>
      </c>
      <c r="G34">
        <f t="shared" si="2"/>
        <v>2</v>
      </c>
      <c r="H34" t="str">
        <f>IF(V34="","",IFERROR(VLOOKUP(TRIM($V34),KEY!$B$2:$E$58,3,FALSE),""))</f>
        <v>TX</v>
      </c>
      <c r="I34" t="str">
        <f t="shared" si="9"/>
        <v>WEST-4</v>
      </c>
      <c r="J34" t="str">
        <f t="shared" si="10"/>
        <v>Nov 2024-WEST-4</v>
      </c>
      <c r="K34">
        <f t="shared" si="11"/>
        <v>4</v>
      </c>
      <c r="L34">
        <f t="shared" si="12"/>
        <v>4.3099999999999996</v>
      </c>
      <c r="M34">
        <f>IF(V34="","",IFERROR(VLOOKUP(TRIM($V34),KEY!$B$2:$E$58,4,FALSE),""))</f>
        <v>31</v>
      </c>
      <c r="N34">
        <f t="shared" si="13"/>
        <v>4</v>
      </c>
      <c r="O34" t="str">
        <f t="shared" si="14"/>
        <v>LE-2</v>
      </c>
      <c r="P34">
        <f t="shared" si="3"/>
        <v>2</v>
      </c>
      <c r="Q34">
        <f t="shared" si="15"/>
        <v>2.0299999999999998</v>
      </c>
      <c r="R34">
        <f t="shared" si="4"/>
        <v>3</v>
      </c>
      <c r="S34">
        <f t="shared" si="5"/>
        <v>2</v>
      </c>
      <c r="T34" t="str">
        <f>IF(V34="","",IFERROR(VLOOKUP(TRIM($V34),KEY!$B$2:$E$58,2,FALSE),""))</f>
        <v>LE</v>
      </c>
      <c r="V34" s="64" t="s">
        <v>31</v>
      </c>
      <c r="W34" s="64">
        <v>11</v>
      </c>
      <c r="X34" s="64">
        <v>7</v>
      </c>
      <c r="Y34" s="64">
        <v>0.63636363636363635</v>
      </c>
      <c r="Z34" s="64">
        <v>1</v>
      </c>
      <c r="AA34" s="64">
        <v>7</v>
      </c>
      <c r="AB34" s="64">
        <v>1</v>
      </c>
      <c r="AC34" s="64">
        <v>1</v>
      </c>
      <c r="AD34" s="64">
        <v>10</v>
      </c>
      <c r="AE34" s="64">
        <v>0.90909090909090906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1</v>
      </c>
      <c r="AL34" s="64">
        <v>0</v>
      </c>
      <c r="AM34" s="64">
        <v>9.0909090909090912E-2</v>
      </c>
    </row>
    <row r="35" spans="2:39" x14ac:dyDescent="0.2">
      <c r="B35" t="str">
        <f t="shared" si="6"/>
        <v>SoCal-3</v>
      </c>
      <c r="C35" t="str">
        <f t="shared" si="7"/>
        <v>Nov 2024-SoCal-3</v>
      </c>
      <c r="D35">
        <f t="shared" si="0"/>
        <v>3</v>
      </c>
      <c r="E35">
        <f t="shared" si="8"/>
        <v>3.08</v>
      </c>
      <c r="F35">
        <f t="shared" si="1"/>
        <v>8</v>
      </c>
      <c r="G35">
        <f t="shared" si="2"/>
        <v>3</v>
      </c>
      <c r="H35" t="str">
        <f>IF(V35="","",IFERROR(VLOOKUP(TRIM($V35),KEY!$B$2:$E$58,3,FALSE),""))</f>
        <v>SoCal</v>
      </c>
      <c r="I35" t="str">
        <f t="shared" si="9"/>
        <v>WEST-9</v>
      </c>
      <c r="J35" t="str">
        <f t="shared" si="10"/>
        <v>Nov 2024-WEST-9</v>
      </c>
      <c r="K35">
        <f t="shared" si="11"/>
        <v>9</v>
      </c>
      <c r="L35">
        <f t="shared" si="12"/>
        <v>9.32</v>
      </c>
      <c r="M35">
        <f>IF(V35="","",IFERROR(VLOOKUP(TRIM($V35),KEY!$B$2:$E$58,4,FALSE),""))</f>
        <v>32</v>
      </c>
      <c r="N35">
        <f t="shared" si="13"/>
        <v>9</v>
      </c>
      <c r="O35" t="str">
        <f t="shared" si="14"/>
        <v>LE-3</v>
      </c>
      <c r="P35">
        <f t="shared" si="3"/>
        <v>3</v>
      </c>
      <c r="Q35">
        <f t="shared" si="15"/>
        <v>3.04</v>
      </c>
      <c r="R35">
        <f t="shared" si="4"/>
        <v>4</v>
      </c>
      <c r="S35">
        <f t="shared" si="5"/>
        <v>3</v>
      </c>
      <c r="T35" t="str">
        <f>IF(V35="","",IFERROR(VLOOKUP(TRIM($V35),KEY!$B$2:$E$58,2,FALSE),""))</f>
        <v>LE</v>
      </c>
      <c r="V35" s="64" t="s">
        <v>32</v>
      </c>
      <c r="W35" s="64">
        <v>31</v>
      </c>
      <c r="X35" s="64">
        <v>13</v>
      </c>
      <c r="Y35" s="64">
        <v>0.41935483870967744</v>
      </c>
      <c r="Z35" s="64">
        <v>3</v>
      </c>
      <c r="AA35" s="64">
        <v>13</v>
      </c>
      <c r="AB35" s="64">
        <v>3</v>
      </c>
      <c r="AC35" s="64">
        <v>4</v>
      </c>
      <c r="AD35" s="64">
        <v>23</v>
      </c>
      <c r="AE35" s="64">
        <v>0.74193548387096775</v>
      </c>
      <c r="AF35" s="64">
        <v>8</v>
      </c>
      <c r="AG35" s="64">
        <v>0</v>
      </c>
      <c r="AH35" s="64">
        <v>0</v>
      </c>
      <c r="AI35" s="64">
        <v>0.25806451612903225</v>
      </c>
      <c r="AJ35" s="64">
        <v>0</v>
      </c>
      <c r="AK35" s="64">
        <v>0</v>
      </c>
      <c r="AL35" s="64">
        <v>0</v>
      </c>
      <c r="AM35" s="64">
        <v>0</v>
      </c>
    </row>
    <row r="36" spans="2:39" x14ac:dyDescent="0.2">
      <c r="B36" t="str">
        <f t="shared" si="6"/>
        <v>OC-8</v>
      </c>
      <c r="C36" t="str">
        <f t="shared" si="7"/>
        <v>Nov 2024-OC-8</v>
      </c>
      <c r="D36">
        <f t="shared" ref="D36:D60" si="30">IF(V36="","",COUNTIFS($H$4:$H$60,H36,$E$4:$E$60,"&lt;"&amp;E36)+1)</f>
        <v>8</v>
      </c>
      <c r="E36">
        <f t="shared" si="8"/>
        <v>6.06</v>
      </c>
      <c r="F36">
        <f t="shared" ref="F36:F60" si="31">IF(V36="","",COUNTIFS($H$4:$H$60,H36,$V$4:$V$60,"&lt;"&amp;V36)+1)</f>
        <v>6</v>
      </c>
      <c r="G36">
        <f t="shared" ref="G36:G60" si="32">IF(V36="","",COUNTIFS($H$4:$H$60,H36,$Y$4:$Y$60,"&gt;"&amp;Y36)+1)</f>
        <v>6</v>
      </c>
      <c r="H36" t="str">
        <f>IF(V36="","",IFERROR(VLOOKUP(TRIM($V36),KEY!$B$2:$E$58,3,FALSE),""))</f>
        <v>OC</v>
      </c>
      <c r="I36" t="str">
        <f t="shared" si="9"/>
        <v>WEST-47</v>
      </c>
      <c r="J36" t="str">
        <f t="shared" si="10"/>
        <v>Nov 2024-WEST-47</v>
      </c>
      <c r="K36">
        <f t="shared" si="11"/>
        <v>47</v>
      </c>
      <c r="L36">
        <f t="shared" si="12"/>
        <v>41.33</v>
      </c>
      <c r="M36">
        <f>IF(V36="","",IFERROR(VLOOKUP(TRIM($V36),KEY!$B$2:$E$58,4,FALSE),""))</f>
        <v>33</v>
      </c>
      <c r="N36">
        <f t="shared" si="13"/>
        <v>41</v>
      </c>
      <c r="O36" t="str">
        <f t="shared" si="14"/>
        <v>LI-1</v>
      </c>
      <c r="P36">
        <f t="shared" ref="P36:P60" si="33">IF(V36="","",COUNTIFS($T$4:$T$60,T36,$Q$4:$Q$60,"&lt;"&amp;Q36)+1)</f>
        <v>1</v>
      </c>
      <c r="Q36">
        <f t="shared" si="15"/>
        <v>1.01</v>
      </c>
      <c r="R36">
        <f t="shared" ref="R36:R60" si="34">IF(V36="","",COUNTIFS($T$4:$T$60,T36,$V$4:$V$60,"&lt;"&amp;V36)+1)</f>
        <v>1</v>
      </c>
      <c r="S36">
        <f t="shared" ref="S36:S60" si="35">IF(V36="","",COUNTIFS($T$4:$T$60,T36,$Y$4:$Y$60,"&gt;"&amp;Y36)+1)</f>
        <v>1</v>
      </c>
      <c r="T36" t="str">
        <f>IF(V36="","",IFERROR(VLOOKUP(TRIM($V36),KEY!$B$2:$E$58,2,FALSE),""))</f>
        <v>LI</v>
      </c>
      <c r="V36" s="64" t="s">
        <v>33</v>
      </c>
      <c r="W36" s="64">
        <v>3</v>
      </c>
      <c r="X36" s="64">
        <v>0</v>
      </c>
      <c r="Y36" s="64">
        <v>0</v>
      </c>
      <c r="Z36" s="64">
        <v>0</v>
      </c>
      <c r="AA36" s="64">
        <v>0</v>
      </c>
      <c r="AB36" s="64">
        <v>1</v>
      </c>
      <c r="AC36" s="64">
        <v>0</v>
      </c>
      <c r="AD36" s="64">
        <v>1</v>
      </c>
      <c r="AE36" s="64">
        <v>0.33333333333333331</v>
      </c>
      <c r="AF36" s="64">
        <v>0</v>
      </c>
      <c r="AG36" s="64">
        <v>0</v>
      </c>
      <c r="AH36" s="64">
        <v>0</v>
      </c>
      <c r="AI36" s="64">
        <v>0</v>
      </c>
      <c r="AJ36" s="64">
        <v>1</v>
      </c>
      <c r="AK36" s="64">
        <v>1</v>
      </c>
      <c r="AL36" s="64">
        <v>0</v>
      </c>
      <c r="AM36" s="64">
        <v>0.66666666666666663</v>
      </c>
    </row>
    <row r="37" spans="2:39" x14ac:dyDescent="0.2">
      <c r="B37" t="str">
        <f t="shared" si="6"/>
        <v>SoCal-5</v>
      </c>
      <c r="C37" t="str">
        <f t="shared" si="7"/>
        <v>Nov 2024-SoCal-5</v>
      </c>
      <c r="D37">
        <f t="shared" si="30"/>
        <v>5</v>
      </c>
      <c r="E37">
        <f t="shared" si="8"/>
        <v>5.09</v>
      </c>
      <c r="F37">
        <f t="shared" si="31"/>
        <v>9</v>
      </c>
      <c r="G37">
        <f t="shared" si="32"/>
        <v>5</v>
      </c>
      <c r="H37" t="str">
        <f>IF(V37="","",IFERROR(VLOOKUP(TRIM($V37),KEY!$B$2:$E$58,3,FALSE),""))</f>
        <v>SoCal</v>
      </c>
      <c r="I37" t="str">
        <f t="shared" si="9"/>
        <v>WEST-21</v>
      </c>
      <c r="J37" t="str">
        <f t="shared" si="10"/>
        <v>Nov 2024-WEST-21</v>
      </c>
      <c r="K37">
        <f t="shared" si="11"/>
        <v>21</v>
      </c>
      <c r="L37">
        <f t="shared" si="12"/>
        <v>21.34</v>
      </c>
      <c r="M37">
        <f>IF(V37="","",IFERROR(VLOOKUP(TRIM($V37),KEY!$B$2:$E$58,4,FALSE),""))</f>
        <v>34</v>
      </c>
      <c r="N37">
        <f t="shared" si="13"/>
        <v>21</v>
      </c>
      <c r="O37" t="str">
        <f t="shared" si="14"/>
        <v>MA-1</v>
      </c>
      <c r="P37">
        <f t="shared" si="33"/>
        <v>1</v>
      </c>
      <c r="Q37">
        <f t="shared" si="15"/>
        <v>1.01</v>
      </c>
      <c r="R37">
        <f t="shared" si="34"/>
        <v>1</v>
      </c>
      <c r="S37">
        <f t="shared" si="35"/>
        <v>1</v>
      </c>
      <c r="T37" t="str">
        <f>IF(V37="","",IFERROR(VLOOKUP(TRIM($V37),KEY!$B$2:$E$58,2,FALSE),""))</f>
        <v>MA</v>
      </c>
      <c r="V37" s="64" t="s">
        <v>34</v>
      </c>
      <c r="W37" s="64">
        <v>23</v>
      </c>
      <c r="X37" s="64">
        <v>7</v>
      </c>
      <c r="Y37" s="64">
        <v>0.30434782608695654</v>
      </c>
      <c r="Z37" s="64">
        <v>1</v>
      </c>
      <c r="AA37" s="64">
        <v>7</v>
      </c>
      <c r="AB37" s="64">
        <v>1</v>
      </c>
      <c r="AC37" s="64">
        <v>3</v>
      </c>
      <c r="AD37" s="64">
        <v>12</v>
      </c>
      <c r="AE37" s="64">
        <v>0.52173913043478259</v>
      </c>
      <c r="AF37" s="64">
        <v>0</v>
      </c>
      <c r="AG37" s="64">
        <v>0</v>
      </c>
      <c r="AH37" s="64">
        <v>0</v>
      </c>
      <c r="AI37" s="64">
        <v>0</v>
      </c>
      <c r="AJ37" s="64">
        <v>3</v>
      </c>
      <c r="AK37" s="64">
        <v>8</v>
      </c>
      <c r="AL37" s="64">
        <v>0</v>
      </c>
      <c r="AM37" s="64">
        <v>0.47826086956521741</v>
      </c>
    </row>
    <row r="38" spans="2:39" x14ac:dyDescent="0.2">
      <c r="B38" t="str">
        <f t="shared" si="6"/>
        <v>AZ-11</v>
      </c>
      <c r="C38" t="str">
        <f t="shared" si="7"/>
        <v>Nov 2024-AZ-11</v>
      </c>
      <c r="D38">
        <f t="shared" si="30"/>
        <v>11</v>
      </c>
      <c r="E38">
        <f t="shared" si="8"/>
        <v>11.1</v>
      </c>
      <c r="F38">
        <f t="shared" si="31"/>
        <v>10</v>
      </c>
      <c r="G38">
        <f t="shared" si="32"/>
        <v>11</v>
      </c>
      <c r="H38" t="str">
        <f>IF(V38="","",IFERROR(VLOOKUP(TRIM($V38),KEY!$B$2:$E$58,3,FALSE),""))</f>
        <v>AZ</v>
      </c>
      <c r="I38" t="str">
        <f t="shared" si="9"/>
        <v>WEST-38</v>
      </c>
      <c r="J38" t="str">
        <f t="shared" si="10"/>
        <v>Nov 2024-WEST-38</v>
      </c>
      <c r="K38">
        <f t="shared" si="11"/>
        <v>38</v>
      </c>
      <c r="L38">
        <f t="shared" si="12"/>
        <v>38.35</v>
      </c>
      <c r="M38">
        <f>IF(V38="","",IFERROR(VLOOKUP(TRIM($V38),KEY!$B$2:$E$58,4,FALSE),""))</f>
        <v>35</v>
      </c>
      <c r="N38">
        <f t="shared" si="13"/>
        <v>38</v>
      </c>
      <c r="O38" t="str">
        <f t="shared" si="14"/>
        <v>MB-3</v>
      </c>
      <c r="P38">
        <f t="shared" si="33"/>
        <v>3</v>
      </c>
      <c r="Q38">
        <f t="shared" si="15"/>
        <v>3.01</v>
      </c>
      <c r="R38">
        <f t="shared" si="34"/>
        <v>1</v>
      </c>
      <c r="S38">
        <f t="shared" si="35"/>
        <v>3</v>
      </c>
      <c r="T38" t="str">
        <f>IF(V38="","",IFERROR(VLOOKUP(TRIM($V38),KEY!$B$2:$E$58,2,FALSE),""))</f>
        <v>MB</v>
      </c>
      <c r="V38" s="64" t="s">
        <v>35</v>
      </c>
      <c r="W38" s="64">
        <v>8</v>
      </c>
      <c r="X38" s="64">
        <v>1</v>
      </c>
      <c r="Y38" s="64">
        <v>0.125</v>
      </c>
      <c r="Z38" s="64">
        <v>1</v>
      </c>
      <c r="AA38" s="64">
        <v>1</v>
      </c>
      <c r="AB38" s="64">
        <v>0</v>
      </c>
      <c r="AC38" s="64">
        <v>2</v>
      </c>
      <c r="AD38" s="64">
        <v>4</v>
      </c>
      <c r="AE38" s="64">
        <v>0.5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4</v>
      </c>
      <c r="AL38" s="64">
        <v>0</v>
      </c>
      <c r="AM38" s="64">
        <v>0.5</v>
      </c>
    </row>
    <row r="39" spans="2:39" x14ac:dyDescent="0.2">
      <c r="B39" t="str">
        <f t="shared" si="6"/>
        <v>AZ-6</v>
      </c>
      <c r="C39" t="str">
        <f t="shared" si="7"/>
        <v>Nov 2024-AZ-6</v>
      </c>
      <c r="D39">
        <f t="shared" si="30"/>
        <v>6</v>
      </c>
      <c r="E39">
        <f t="shared" si="8"/>
        <v>6.11</v>
      </c>
      <c r="F39">
        <f t="shared" si="31"/>
        <v>11</v>
      </c>
      <c r="G39">
        <f t="shared" si="32"/>
        <v>6</v>
      </c>
      <c r="H39" t="str">
        <f>IF(V39="","",IFERROR(VLOOKUP(TRIM($V39),KEY!$B$2:$E$58,3,FALSE),""))</f>
        <v>AZ</v>
      </c>
      <c r="I39" t="str">
        <f t="shared" si="9"/>
        <v>WEST-23</v>
      </c>
      <c r="J39" t="str">
        <f t="shared" si="10"/>
        <v>Nov 2024-WEST-23</v>
      </c>
      <c r="K39">
        <f t="shared" si="11"/>
        <v>23</v>
      </c>
      <c r="L39">
        <f t="shared" si="12"/>
        <v>23.36</v>
      </c>
      <c r="M39">
        <f>IF(V39="","",IFERROR(VLOOKUP(TRIM($V39),KEY!$B$2:$E$58,4,FALSE),""))</f>
        <v>36</v>
      </c>
      <c r="N39">
        <f t="shared" si="13"/>
        <v>23</v>
      </c>
      <c r="O39" t="str">
        <f t="shared" si="14"/>
        <v>MB-1</v>
      </c>
      <c r="P39">
        <f t="shared" si="33"/>
        <v>1</v>
      </c>
      <c r="Q39">
        <f t="shared" si="15"/>
        <v>1.02</v>
      </c>
      <c r="R39">
        <f t="shared" si="34"/>
        <v>2</v>
      </c>
      <c r="S39">
        <f t="shared" si="35"/>
        <v>1</v>
      </c>
      <c r="T39" t="str">
        <f>IF(V39="","",IFERROR(VLOOKUP(TRIM($V39),KEY!$B$2:$E$58,2,FALSE),""))</f>
        <v>MB</v>
      </c>
      <c r="V39" s="64" t="s">
        <v>270</v>
      </c>
      <c r="W39" s="64">
        <v>17</v>
      </c>
      <c r="X39" s="64">
        <v>5</v>
      </c>
      <c r="Y39" s="64">
        <v>0.29411764705882354</v>
      </c>
      <c r="Z39" s="64">
        <v>0</v>
      </c>
      <c r="AA39" s="64">
        <v>5</v>
      </c>
      <c r="AB39" s="64">
        <v>0</v>
      </c>
      <c r="AC39" s="64">
        <v>9</v>
      </c>
      <c r="AD39" s="64">
        <v>14</v>
      </c>
      <c r="AE39" s="64">
        <v>0.82352941176470584</v>
      </c>
      <c r="AF39" s="64">
        <v>0</v>
      </c>
      <c r="AG39" s="64">
        <v>0</v>
      </c>
      <c r="AH39" s="64">
        <v>0</v>
      </c>
      <c r="AI39" s="64">
        <v>0</v>
      </c>
      <c r="AJ39" s="64">
        <v>3</v>
      </c>
      <c r="AK39" s="64">
        <v>0</v>
      </c>
      <c r="AL39" s="64">
        <v>0</v>
      </c>
      <c r="AM39" s="64">
        <v>0.17647058823529413</v>
      </c>
    </row>
    <row r="40" spans="2:39" x14ac:dyDescent="0.2">
      <c r="B40" t="str">
        <f t="shared" si="6"/>
        <v>SoCal-6</v>
      </c>
      <c r="C40" t="str">
        <f t="shared" si="7"/>
        <v>Nov 2024-SoCal-6</v>
      </c>
      <c r="D40">
        <f t="shared" si="30"/>
        <v>6</v>
      </c>
      <c r="E40">
        <f t="shared" si="8"/>
        <v>6.1</v>
      </c>
      <c r="F40">
        <f t="shared" si="31"/>
        <v>10</v>
      </c>
      <c r="G40">
        <f t="shared" si="32"/>
        <v>6</v>
      </c>
      <c r="H40" t="str">
        <f>IF(V40="","",IFERROR(VLOOKUP(TRIM($V40),KEY!$B$2:$E$58,3,FALSE),""))</f>
        <v>SoCal</v>
      </c>
      <c r="I40" t="str">
        <f t="shared" si="9"/>
        <v>WEST-25</v>
      </c>
      <c r="J40" t="str">
        <f t="shared" si="10"/>
        <v>Nov 2024-WEST-25</v>
      </c>
      <c r="K40">
        <f t="shared" si="11"/>
        <v>25</v>
      </c>
      <c r="L40">
        <f t="shared" si="12"/>
        <v>25.37</v>
      </c>
      <c r="M40">
        <f>IF(V40="","",IFERROR(VLOOKUP(TRIM($V40),KEY!$B$2:$E$58,4,FALSE),""))</f>
        <v>37</v>
      </c>
      <c r="N40">
        <f t="shared" si="13"/>
        <v>25</v>
      </c>
      <c r="O40" t="str">
        <f t="shared" si="14"/>
        <v>MB-2</v>
      </c>
      <c r="P40">
        <f t="shared" si="33"/>
        <v>2</v>
      </c>
      <c r="Q40">
        <f t="shared" si="15"/>
        <v>2.0299999999999998</v>
      </c>
      <c r="R40">
        <f t="shared" si="34"/>
        <v>3</v>
      </c>
      <c r="S40">
        <f t="shared" si="35"/>
        <v>2</v>
      </c>
      <c r="T40" t="str">
        <f>IF(V40="","",IFERROR(VLOOKUP(TRIM($V40),KEY!$B$2:$E$58,2,FALSE),""))</f>
        <v>MB</v>
      </c>
      <c r="V40" s="64" t="s">
        <v>36</v>
      </c>
      <c r="W40" s="64">
        <v>40</v>
      </c>
      <c r="X40" s="64">
        <v>11</v>
      </c>
      <c r="Y40" s="64">
        <v>0.27500000000000002</v>
      </c>
      <c r="Z40" s="64">
        <v>1</v>
      </c>
      <c r="AA40" s="64">
        <v>11</v>
      </c>
      <c r="AB40" s="64">
        <v>6</v>
      </c>
      <c r="AC40" s="64">
        <v>4</v>
      </c>
      <c r="AD40" s="64">
        <v>22</v>
      </c>
      <c r="AE40" s="64">
        <v>0.55000000000000004</v>
      </c>
      <c r="AF40" s="64">
        <v>3</v>
      </c>
      <c r="AG40" s="64">
        <v>0</v>
      </c>
      <c r="AH40" s="64">
        <v>0</v>
      </c>
      <c r="AI40" s="64">
        <v>7.4999999999999997E-2</v>
      </c>
      <c r="AJ40" s="64">
        <v>14</v>
      </c>
      <c r="AK40" s="64">
        <v>1</v>
      </c>
      <c r="AL40" s="64">
        <v>0</v>
      </c>
      <c r="AM40" s="64">
        <v>0.375</v>
      </c>
    </row>
    <row r="41" spans="2:39" x14ac:dyDescent="0.2">
      <c r="B41" t="str">
        <f t="shared" si="6"/>
        <v>AZ-16</v>
      </c>
      <c r="C41" t="str">
        <f t="shared" si="7"/>
        <v>Nov 2024-AZ-16</v>
      </c>
      <c r="D41">
        <f t="shared" si="30"/>
        <v>16</v>
      </c>
      <c r="E41">
        <f t="shared" si="8"/>
        <v>12.12</v>
      </c>
      <c r="F41">
        <f t="shared" si="31"/>
        <v>12</v>
      </c>
      <c r="G41">
        <f t="shared" si="32"/>
        <v>12</v>
      </c>
      <c r="H41" t="str">
        <f>IF(V41="","",IFERROR(VLOOKUP(TRIM($V41),KEY!$B$2:$E$58,3,FALSE),""))</f>
        <v>AZ</v>
      </c>
      <c r="I41" t="str">
        <f t="shared" si="9"/>
        <v>WEST-48</v>
      </c>
      <c r="J41" t="str">
        <f t="shared" si="10"/>
        <v>Nov 2024-WEST-48</v>
      </c>
      <c r="K41">
        <f t="shared" si="11"/>
        <v>48</v>
      </c>
      <c r="L41">
        <f t="shared" si="12"/>
        <v>41.38</v>
      </c>
      <c r="M41">
        <f>IF(V41="","",IFERROR(VLOOKUP(TRIM($V41),KEY!$B$2:$E$58,4,FALSE),""))</f>
        <v>38</v>
      </c>
      <c r="N41">
        <f t="shared" si="13"/>
        <v>41</v>
      </c>
      <c r="O41" t="str">
        <f t="shared" si="14"/>
        <v>MI-6</v>
      </c>
      <c r="P41">
        <f t="shared" si="33"/>
        <v>6</v>
      </c>
      <c r="Q41">
        <f t="shared" si="15"/>
        <v>5.0199999999999996</v>
      </c>
      <c r="R41">
        <f t="shared" si="34"/>
        <v>2</v>
      </c>
      <c r="S41">
        <f t="shared" si="35"/>
        <v>5</v>
      </c>
      <c r="T41" t="str">
        <f>IF(V41="","",IFERROR(VLOOKUP(TRIM($V41),KEY!$B$2:$E$58,2,FALSE),""))</f>
        <v>MI</v>
      </c>
      <c r="V41" s="64" t="s">
        <v>38</v>
      </c>
      <c r="W41" s="64">
        <v>4</v>
      </c>
      <c r="X41" s="64">
        <v>0</v>
      </c>
      <c r="Y41" s="64">
        <v>0</v>
      </c>
      <c r="Z41" s="64">
        <v>0</v>
      </c>
      <c r="AA41" s="64">
        <v>0</v>
      </c>
      <c r="AB41" s="64">
        <v>1</v>
      </c>
      <c r="AC41" s="64">
        <v>1</v>
      </c>
      <c r="AD41" s="64">
        <v>2</v>
      </c>
      <c r="AE41" s="64">
        <v>0.5</v>
      </c>
      <c r="AF41" s="64">
        <v>0</v>
      </c>
      <c r="AG41" s="64">
        <v>0</v>
      </c>
      <c r="AH41" s="64">
        <v>0</v>
      </c>
      <c r="AI41" s="64">
        <v>0</v>
      </c>
      <c r="AJ41" s="64">
        <v>2</v>
      </c>
      <c r="AK41" s="64">
        <v>0</v>
      </c>
      <c r="AL41" s="64">
        <v>0</v>
      </c>
      <c r="AM41" s="64">
        <v>0.5</v>
      </c>
    </row>
    <row r="42" spans="2:39" x14ac:dyDescent="0.2">
      <c r="B42" t="str">
        <f t="shared" si="6"/>
        <v>TX-9</v>
      </c>
      <c r="C42" t="str">
        <f t="shared" si="7"/>
        <v>Nov 2024-TX-9</v>
      </c>
      <c r="D42">
        <f t="shared" si="30"/>
        <v>9</v>
      </c>
      <c r="E42">
        <f t="shared" si="8"/>
        <v>7.07</v>
      </c>
      <c r="F42">
        <f t="shared" si="31"/>
        <v>7</v>
      </c>
      <c r="G42">
        <f t="shared" si="32"/>
        <v>7</v>
      </c>
      <c r="H42" t="str">
        <f>IF(V42="","",IFERROR(VLOOKUP(TRIM($V42),KEY!$B$2:$E$58,3,FALSE),""))</f>
        <v>TX</v>
      </c>
      <c r="I42" t="str">
        <f t="shared" si="9"/>
        <v>WEST-49</v>
      </c>
      <c r="J42" t="str">
        <f t="shared" si="10"/>
        <v>Nov 2024-WEST-49</v>
      </c>
      <c r="K42">
        <f t="shared" si="11"/>
        <v>49</v>
      </c>
      <c r="L42">
        <f t="shared" si="12"/>
        <v>41.39</v>
      </c>
      <c r="M42">
        <f>IF(V42="","",IFERROR(VLOOKUP(TRIM($V42),KEY!$B$2:$E$58,4,FALSE),""))</f>
        <v>39</v>
      </c>
      <c r="N42">
        <f t="shared" si="13"/>
        <v>41</v>
      </c>
      <c r="O42" t="str">
        <f t="shared" si="14"/>
        <v>MI-7</v>
      </c>
      <c r="P42">
        <f t="shared" si="33"/>
        <v>7</v>
      </c>
      <c r="Q42">
        <f t="shared" si="15"/>
        <v>5.03</v>
      </c>
      <c r="R42">
        <f t="shared" si="34"/>
        <v>3</v>
      </c>
      <c r="S42">
        <f t="shared" si="35"/>
        <v>5</v>
      </c>
      <c r="T42" t="str">
        <f>IF(V42="","",IFERROR(VLOOKUP(TRIM($V42),KEY!$B$2:$E$58,2,FALSE),""))</f>
        <v>MI</v>
      </c>
      <c r="V42" s="64" t="s">
        <v>39</v>
      </c>
      <c r="W42" s="64">
        <v>2</v>
      </c>
      <c r="X42" s="64">
        <v>0</v>
      </c>
      <c r="Y42" s="64">
        <v>0</v>
      </c>
      <c r="Z42" s="64">
        <v>0</v>
      </c>
      <c r="AA42" s="64">
        <v>0</v>
      </c>
      <c r="AB42" s="64">
        <v>1</v>
      </c>
      <c r="AC42" s="64">
        <v>0</v>
      </c>
      <c r="AD42" s="64">
        <v>1</v>
      </c>
      <c r="AE42" s="64">
        <v>0.5</v>
      </c>
      <c r="AF42" s="64">
        <v>0</v>
      </c>
      <c r="AG42" s="64">
        <v>0</v>
      </c>
      <c r="AH42" s="64">
        <v>0</v>
      </c>
      <c r="AI42" s="64">
        <v>0</v>
      </c>
      <c r="AJ42" s="64">
        <v>0</v>
      </c>
      <c r="AK42" s="64">
        <v>1</v>
      </c>
      <c r="AL42" s="64">
        <v>0</v>
      </c>
      <c r="AM42" s="64">
        <v>0.5</v>
      </c>
    </row>
    <row r="43" spans="2:39" x14ac:dyDescent="0.2">
      <c r="B43" t="str">
        <f t="shared" si="6"/>
        <v>NorCal-5</v>
      </c>
      <c r="C43" t="str">
        <f t="shared" si="7"/>
        <v>Nov 2024-NorCal-5</v>
      </c>
      <c r="D43">
        <f t="shared" si="30"/>
        <v>5</v>
      </c>
      <c r="E43">
        <f t="shared" si="8"/>
        <v>5.05</v>
      </c>
      <c r="F43">
        <f t="shared" si="31"/>
        <v>5</v>
      </c>
      <c r="G43">
        <f t="shared" si="32"/>
        <v>5</v>
      </c>
      <c r="H43" t="str">
        <f>IF(V43="","",IFERROR(VLOOKUP(TRIM($V43),KEY!$B$2:$E$58,3,FALSE),""))</f>
        <v>NorCal</v>
      </c>
      <c r="I43" t="str">
        <f t="shared" si="9"/>
        <v>WEST-24</v>
      </c>
      <c r="J43" t="str">
        <f t="shared" si="10"/>
        <v>Nov 2024-WEST-24</v>
      </c>
      <c r="K43">
        <f t="shared" si="11"/>
        <v>24</v>
      </c>
      <c r="L43">
        <f t="shared" si="12"/>
        <v>24.4</v>
      </c>
      <c r="M43">
        <f>IF(V43="","",IFERROR(VLOOKUP(TRIM($V43),KEY!$B$2:$E$58,4,FALSE),""))</f>
        <v>40</v>
      </c>
      <c r="N43">
        <f t="shared" si="13"/>
        <v>24</v>
      </c>
      <c r="O43" t="str">
        <f t="shared" si="14"/>
        <v>MI-4</v>
      </c>
      <c r="P43">
        <f t="shared" si="33"/>
        <v>4</v>
      </c>
      <c r="Q43">
        <f t="shared" si="15"/>
        <v>3.04</v>
      </c>
      <c r="R43">
        <f t="shared" si="34"/>
        <v>4</v>
      </c>
      <c r="S43">
        <f t="shared" si="35"/>
        <v>3</v>
      </c>
      <c r="T43" t="str">
        <f>IF(V43="","",IFERROR(VLOOKUP(TRIM($V43),KEY!$B$2:$E$58,2,FALSE),""))</f>
        <v>MI</v>
      </c>
      <c r="V43" s="64" t="s">
        <v>40</v>
      </c>
      <c r="W43" s="64">
        <v>7</v>
      </c>
      <c r="X43" s="64">
        <v>2</v>
      </c>
      <c r="Y43" s="64">
        <v>0.2857142857142857</v>
      </c>
      <c r="Z43" s="64">
        <v>0</v>
      </c>
      <c r="AA43" s="64">
        <v>2</v>
      </c>
      <c r="AB43" s="64">
        <v>0</v>
      </c>
      <c r="AC43" s="64">
        <v>2</v>
      </c>
      <c r="AD43" s="64">
        <v>4</v>
      </c>
      <c r="AE43" s="64">
        <v>0.5714285714285714</v>
      </c>
      <c r="AF43" s="64">
        <v>1</v>
      </c>
      <c r="AG43" s="64">
        <v>0</v>
      </c>
      <c r="AH43" s="64">
        <v>0</v>
      </c>
      <c r="AI43" s="64">
        <v>0.14285714285714285</v>
      </c>
      <c r="AJ43" s="64">
        <v>1</v>
      </c>
      <c r="AK43" s="64">
        <v>1</v>
      </c>
      <c r="AL43" s="64">
        <v>0</v>
      </c>
      <c r="AM43" s="64">
        <v>0.2857142857142857</v>
      </c>
    </row>
    <row r="44" spans="2:39" x14ac:dyDescent="0.2">
      <c r="B44" t="str">
        <f t="shared" si="6"/>
        <v>OC-2</v>
      </c>
      <c r="C44" t="str">
        <f t="shared" si="7"/>
        <v>Nov 2024-OC-2</v>
      </c>
      <c r="D44">
        <f t="shared" si="30"/>
        <v>2</v>
      </c>
      <c r="E44">
        <f t="shared" si="8"/>
        <v>1.07</v>
      </c>
      <c r="F44">
        <f t="shared" si="31"/>
        <v>7</v>
      </c>
      <c r="G44">
        <f t="shared" si="32"/>
        <v>1</v>
      </c>
      <c r="H44" t="str">
        <f>IF(V44="","",IFERROR(VLOOKUP(TRIM($V44),KEY!$B$2:$E$58,3,FALSE),""))</f>
        <v>OC</v>
      </c>
      <c r="I44" t="str">
        <f t="shared" si="9"/>
        <v>WEST--</v>
      </c>
      <c r="J44" t="str">
        <f t="shared" si="10"/>
        <v>Nov 2024-WEST--</v>
      </c>
      <c r="K44" t="str">
        <f t="shared" si="11"/>
        <v>-</v>
      </c>
      <c r="L44" t="str">
        <f t="shared" si="12"/>
        <v>-</v>
      </c>
      <c r="M44">
        <f>IF(V44="","",IFERROR(VLOOKUP(TRIM($V44),KEY!$B$2:$E$58,4,FALSE),""))</f>
        <v>41</v>
      </c>
      <c r="N44" t="str">
        <f t="shared" si="13"/>
        <v>-</v>
      </c>
      <c r="O44" t="str">
        <f t="shared" si="14"/>
        <v>MI-2</v>
      </c>
      <c r="P44">
        <f t="shared" si="33"/>
        <v>2</v>
      </c>
      <c r="Q44">
        <f t="shared" si="15"/>
        <v>1.05</v>
      </c>
      <c r="R44">
        <f t="shared" si="34"/>
        <v>5</v>
      </c>
      <c r="S44">
        <f t="shared" si="35"/>
        <v>1</v>
      </c>
      <c r="T44" t="str">
        <f>IF(V44="","",IFERROR(VLOOKUP(TRIM($V44),KEY!$B$2:$E$58,2,FALSE),""))</f>
        <v>MI</v>
      </c>
      <c r="V44" s="64" t="s">
        <v>41</v>
      </c>
      <c r="W44" s="64">
        <v>0</v>
      </c>
      <c r="X44" s="64">
        <v>0</v>
      </c>
      <c r="Y44" s="64" t="s">
        <v>274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 t="s">
        <v>274</v>
      </c>
      <c r="AF44" s="64">
        <v>0</v>
      </c>
      <c r="AG44" s="64">
        <v>0</v>
      </c>
      <c r="AH44" s="64">
        <v>0</v>
      </c>
      <c r="AI44" s="64" t="s">
        <v>274</v>
      </c>
      <c r="AJ44" s="64">
        <v>0</v>
      </c>
      <c r="AK44" s="64">
        <v>0</v>
      </c>
      <c r="AL44" s="64">
        <v>0</v>
      </c>
      <c r="AM44" s="64" t="s">
        <v>274</v>
      </c>
    </row>
    <row r="45" spans="2:39" x14ac:dyDescent="0.2">
      <c r="B45" t="str">
        <f t="shared" si="6"/>
        <v>SoCal-8</v>
      </c>
      <c r="C45" t="str">
        <f t="shared" si="7"/>
        <v>Nov 2024-SoCal-8</v>
      </c>
      <c r="D45">
        <f t="shared" si="30"/>
        <v>8</v>
      </c>
      <c r="E45">
        <f t="shared" si="8"/>
        <v>8.11</v>
      </c>
      <c r="F45">
        <f t="shared" si="31"/>
        <v>11</v>
      </c>
      <c r="G45">
        <f t="shared" si="32"/>
        <v>8</v>
      </c>
      <c r="H45" t="str">
        <f>IF(V45="","",IFERROR(VLOOKUP(TRIM($V45),KEY!$B$2:$E$58,3,FALSE),""))</f>
        <v>SoCal</v>
      </c>
      <c r="I45" t="str">
        <f t="shared" si="9"/>
        <v>WEST-35</v>
      </c>
      <c r="J45" t="str">
        <f t="shared" si="10"/>
        <v>Nov 2024-WEST-35</v>
      </c>
      <c r="K45">
        <f t="shared" si="11"/>
        <v>35</v>
      </c>
      <c r="L45">
        <f t="shared" si="12"/>
        <v>35.42</v>
      </c>
      <c r="M45">
        <f>IF(V45="","",IFERROR(VLOOKUP(TRIM($V45),KEY!$B$2:$E$58,4,FALSE),""))</f>
        <v>42</v>
      </c>
      <c r="N45">
        <f t="shared" si="13"/>
        <v>35</v>
      </c>
      <c r="O45" t="str">
        <f t="shared" si="14"/>
        <v>MI-5</v>
      </c>
      <c r="P45">
        <f t="shared" si="33"/>
        <v>5</v>
      </c>
      <c r="Q45">
        <f t="shared" si="15"/>
        <v>4.0599999999999996</v>
      </c>
      <c r="R45">
        <f t="shared" si="34"/>
        <v>6</v>
      </c>
      <c r="S45">
        <f t="shared" si="35"/>
        <v>4</v>
      </c>
      <c r="T45" t="str">
        <f>IF(V45="","",IFERROR(VLOOKUP(TRIM($V45),KEY!$B$2:$E$58,2,FALSE),""))</f>
        <v>MI</v>
      </c>
      <c r="V45" s="64" t="s">
        <v>42</v>
      </c>
      <c r="W45" s="64">
        <v>13</v>
      </c>
      <c r="X45" s="64">
        <v>2</v>
      </c>
      <c r="Y45" s="64">
        <v>0.15384615384615385</v>
      </c>
      <c r="Z45" s="64">
        <v>0</v>
      </c>
      <c r="AA45" s="64">
        <v>2</v>
      </c>
      <c r="AB45" s="64">
        <v>2</v>
      </c>
      <c r="AC45" s="64">
        <v>1</v>
      </c>
      <c r="AD45" s="64">
        <v>5</v>
      </c>
      <c r="AE45" s="64">
        <v>0.38461538461538464</v>
      </c>
      <c r="AF45" s="64">
        <v>3</v>
      </c>
      <c r="AG45" s="64">
        <v>1</v>
      </c>
      <c r="AH45" s="64">
        <v>0</v>
      </c>
      <c r="AI45" s="64">
        <v>0.30769230769230771</v>
      </c>
      <c r="AJ45" s="64">
        <v>3</v>
      </c>
      <c r="AK45" s="64">
        <v>1</v>
      </c>
      <c r="AL45" s="64">
        <v>0</v>
      </c>
      <c r="AM45" s="64">
        <v>0.30769230769230771</v>
      </c>
    </row>
    <row r="46" spans="2:39" x14ac:dyDescent="0.2">
      <c r="B46" t="str">
        <f t="shared" si="6"/>
        <v>AZ-5</v>
      </c>
      <c r="C46" t="str">
        <f t="shared" si="7"/>
        <v>Nov 2024-AZ-5</v>
      </c>
      <c r="D46">
        <f t="shared" si="30"/>
        <v>5</v>
      </c>
      <c r="E46">
        <f t="shared" si="8"/>
        <v>5.13</v>
      </c>
      <c r="F46">
        <f t="shared" si="31"/>
        <v>13</v>
      </c>
      <c r="G46">
        <f t="shared" si="32"/>
        <v>5</v>
      </c>
      <c r="H46" t="str">
        <f>IF(V46="","",IFERROR(VLOOKUP(TRIM($V46),KEY!$B$2:$E$58,3,FALSE),""))</f>
        <v>AZ</v>
      </c>
      <c r="I46" t="str">
        <f t="shared" si="9"/>
        <v>WEST-19</v>
      </c>
      <c r="J46" t="str">
        <f t="shared" si="10"/>
        <v>Nov 2024-WEST-19</v>
      </c>
      <c r="K46">
        <f t="shared" si="11"/>
        <v>19</v>
      </c>
      <c r="L46">
        <f t="shared" si="12"/>
        <v>18.43</v>
      </c>
      <c r="M46">
        <f>IF(V46="","",IFERROR(VLOOKUP(TRIM($V46),KEY!$B$2:$E$58,4,FALSE),""))</f>
        <v>43</v>
      </c>
      <c r="N46">
        <f t="shared" si="13"/>
        <v>18</v>
      </c>
      <c r="O46" t="str">
        <f t="shared" si="14"/>
        <v>MI-3</v>
      </c>
      <c r="P46">
        <f t="shared" si="33"/>
        <v>3</v>
      </c>
      <c r="Q46">
        <f t="shared" si="15"/>
        <v>2.0699999999999998</v>
      </c>
      <c r="R46">
        <f t="shared" si="34"/>
        <v>7</v>
      </c>
      <c r="S46">
        <f t="shared" si="35"/>
        <v>2</v>
      </c>
      <c r="T46" t="str">
        <f>IF(V46="","",IFERROR(VLOOKUP(TRIM($V46),KEY!$B$2:$E$58,2,FALSE),""))</f>
        <v>MI</v>
      </c>
      <c r="V46" s="64" t="s">
        <v>43</v>
      </c>
      <c r="W46" s="64">
        <v>3</v>
      </c>
      <c r="X46" s="64">
        <v>1</v>
      </c>
      <c r="Y46" s="64">
        <v>0.33333333333333331</v>
      </c>
      <c r="Z46" s="64">
        <v>0</v>
      </c>
      <c r="AA46" s="64">
        <v>1</v>
      </c>
      <c r="AB46" s="64">
        <v>0</v>
      </c>
      <c r="AC46" s="64">
        <v>0</v>
      </c>
      <c r="AD46" s="64">
        <v>1</v>
      </c>
      <c r="AE46" s="64">
        <v>0.33333333333333331</v>
      </c>
      <c r="AF46" s="64">
        <v>0</v>
      </c>
      <c r="AG46" s="64">
        <v>0</v>
      </c>
      <c r="AH46" s="64">
        <v>0</v>
      </c>
      <c r="AI46" s="64">
        <v>0</v>
      </c>
      <c r="AJ46" s="64">
        <v>1</v>
      </c>
      <c r="AK46" s="64">
        <v>0</v>
      </c>
      <c r="AL46" s="64">
        <v>1</v>
      </c>
      <c r="AM46" s="64">
        <v>0.33333333333333331</v>
      </c>
    </row>
    <row r="47" spans="2:39" x14ac:dyDescent="0.2">
      <c r="B47" t="str">
        <f t="shared" si="6"/>
        <v>NorCal-1</v>
      </c>
      <c r="C47" t="str">
        <f t="shared" si="7"/>
        <v>Nov 2024-NorCal-1</v>
      </c>
      <c r="D47">
        <f t="shared" si="30"/>
        <v>1</v>
      </c>
      <c r="E47">
        <f t="shared" si="8"/>
        <v>1.06</v>
      </c>
      <c r="F47">
        <f t="shared" si="31"/>
        <v>6</v>
      </c>
      <c r="G47">
        <f t="shared" si="32"/>
        <v>1</v>
      </c>
      <c r="H47" t="str">
        <f>IF(V47="","",IFERROR(VLOOKUP(TRIM($V47),KEY!$B$2:$E$58,3,FALSE),""))</f>
        <v>NorCal</v>
      </c>
      <c r="I47" t="str">
        <f t="shared" si="9"/>
        <v>WEST-12</v>
      </c>
      <c r="J47" t="str">
        <f t="shared" si="10"/>
        <v>Nov 2024-WEST-12</v>
      </c>
      <c r="K47">
        <f t="shared" si="11"/>
        <v>12</v>
      </c>
      <c r="L47">
        <f t="shared" si="12"/>
        <v>12.44</v>
      </c>
      <c r="M47">
        <f>IF(V47="","",IFERROR(VLOOKUP(TRIM($V47),KEY!$B$2:$E$58,4,FALSE),""))</f>
        <v>44</v>
      </c>
      <c r="N47">
        <f t="shared" si="13"/>
        <v>12</v>
      </c>
      <c r="O47" t="str">
        <f t="shared" si="14"/>
        <v>BM-2</v>
      </c>
      <c r="P47">
        <f t="shared" si="33"/>
        <v>2</v>
      </c>
      <c r="Q47">
        <f t="shared" si="15"/>
        <v>2.0699999999999998</v>
      </c>
      <c r="R47">
        <f t="shared" si="34"/>
        <v>7</v>
      </c>
      <c r="S47">
        <f t="shared" si="35"/>
        <v>2</v>
      </c>
      <c r="T47" t="str">
        <f>IF(V47="","",IFERROR(VLOOKUP(TRIM($V47),KEY!$B$2:$E$58,2,FALSE),""))</f>
        <v>BM</v>
      </c>
      <c r="V47" s="64" t="s">
        <v>21</v>
      </c>
      <c r="W47" s="64">
        <v>62</v>
      </c>
      <c r="X47" s="64">
        <v>25</v>
      </c>
      <c r="Y47" s="64">
        <v>0.40322580645161288</v>
      </c>
      <c r="Z47" s="64">
        <v>3</v>
      </c>
      <c r="AA47" s="64">
        <v>25</v>
      </c>
      <c r="AB47" s="64">
        <v>10</v>
      </c>
      <c r="AC47" s="64">
        <v>4</v>
      </c>
      <c r="AD47" s="64">
        <v>42</v>
      </c>
      <c r="AE47" s="64">
        <v>0.67741935483870963</v>
      </c>
      <c r="AF47" s="64">
        <v>6</v>
      </c>
      <c r="AG47" s="64">
        <v>0</v>
      </c>
      <c r="AH47" s="64">
        <v>0</v>
      </c>
      <c r="AI47" s="64">
        <v>9.6774193548387094E-2</v>
      </c>
      <c r="AJ47" s="64">
        <v>13</v>
      </c>
      <c r="AK47" s="64">
        <v>1</v>
      </c>
      <c r="AL47" s="64">
        <v>0</v>
      </c>
      <c r="AM47" s="64">
        <v>0.22580645161290322</v>
      </c>
    </row>
    <row r="48" spans="2:39" x14ac:dyDescent="0.2">
      <c r="B48" t="str">
        <f t="shared" si="6"/>
        <v>AZ-17</v>
      </c>
      <c r="C48" t="str">
        <f t="shared" si="7"/>
        <v>Nov 2024-AZ-17</v>
      </c>
      <c r="D48">
        <f t="shared" si="30"/>
        <v>17</v>
      </c>
      <c r="E48">
        <f t="shared" si="8"/>
        <v>12.14</v>
      </c>
      <c r="F48">
        <f t="shared" si="31"/>
        <v>14</v>
      </c>
      <c r="G48">
        <f t="shared" si="32"/>
        <v>12</v>
      </c>
      <c r="H48" t="str">
        <f>IF(V48="","",IFERROR(VLOOKUP(TRIM($V48),KEY!$B$2:$E$58,3,FALSE),""))</f>
        <v>AZ</v>
      </c>
      <c r="I48" t="str">
        <f t="shared" si="9"/>
        <v>WEST-50</v>
      </c>
      <c r="J48" t="str">
        <f t="shared" si="10"/>
        <v>Nov 2024-WEST-50</v>
      </c>
      <c r="K48">
        <f t="shared" si="11"/>
        <v>50</v>
      </c>
      <c r="L48">
        <f t="shared" si="12"/>
        <v>41.45</v>
      </c>
      <c r="M48">
        <f>IF(V48="","",IFERROR(VLOOKUP(TRIM($V48),KEY!$B$2:$E$58,4,FALSE),""))</f>
        <v>45</v>
      </c>
      <c r="N48">
        <f t="shared" si="13"/>
        <v>41</v>
      </c>
      <c r="O48" t="str">
        <f t="shared" si="14"/>
        <v>PO-2</v>
      </c>
      <c r="P48">
        <f t="shared" si="33"/>
        <v>2</v>
      </c>
      <c r="Q48">
        <f t="shared" si="15"/>
        <v>2.0099999999999998</v>
      </c>
      <c r="R48">
        <f t="shared" si="34"/>
        <v>1</v>
      </c>
      <c r="S48">
        <f t="shared" si="35"/>
        <v>2</v>
      </c>
      <c r="T48" t="str">
        <f>IF(V48="","",IFERROR(VLOOKUP(TRIM($V48),KEY!$B$2:$E$58,2,FALSE),""))</f>
        <v>PO</v>
      </c>
      <c r="V48" s="64" t="s">
        <v>44</v>
      </c>
      <c r="W48" s="64">
        <v>2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2</v>
      </c>
      <c r="AI48" s="64">
        <v>1</v>
      </c>
      <c r="AJ48" s="64">
        <v>0</v>
      </c>
      <c r="AK48" s="64">
        <v>0</v>
      </c>
      <c r="AL48" s="64">
        <v>0</v>
      </c>
      <c r="AM48" s="64">
        <v>0</v>
      </c>
    </row>
    <row r="49" spans="2:39" x14ac:dyDescent="0.2">
      <c r="B49" t="str">
        <f t="shared" si="6"/>
        <v>NorCal-8</v>
      </c>
      <c r="C49" t="str">
        <f t="shared" si="7"/>
        <v>Nov 2024-NorCal-8</v>
      </c>
      <c r="D49">
        <f t="shared" si="30"/>
        <v>8</v>
      </c>
      <c r="E49">
        <f t="shared" si="8"/>
        <v>8.07</v>
      </c>
      <c r="F49">
        <f t="shared" si="31"/>
        <v>7</v>
      </c>
      <c r="G49">
        <f t="shared" si="32"/>
        <v>8</v>
      </c>
      <c r="H49" t="str">
        <f>IF(V49="","",IFERROR(VLOOKUP(TRIM($V49),KEY!$B$2:$E$58,3,FALSE),""))</f>
        <v>NorCal</v>
      </c>
      <c r="I49" t="str">
        <f t="shared" si="9"/>
        <v>WEST-39</v>
      </c>
      <c r="J49" t="str">
        <f t="shared" si="10"/>
        <v>Nov 2024-WEST-39</v>
      </c>
      <c r="K49">
        <f t="shared" si="11"/>
        <v>39</v>
      </c>
      <c r="L49">
        <f t="shared" si="12"/>
        <v>39.46</v>
      </c>
      <c r="M49">
        <f>IF(V49="","",IFERROR(VLOOKUP(TRIM($V49),KEY!$B$2:$E$58,4,FALSE),""))</f>
        <v>46</v>
      </c>
      <c r="N49">
        <f t="shared" si="13"/>
        <v>39</v>
      </c>
      <c r="O49" t="str">
        <f t="shared" si="14"/>
        <v>PO-1</v>
      </c>
      <c r="P49">
        <f t="shared" si="33"/>
        <v>1</v>
      </c>
      <c r="Q49">
        <f t="shared" si="15"/>
        <v>1.02</v>
      </c>
      <c r="R49">
        <f t="shared" si="34"/>
        <v>2</v>
      </c>
      <c r="S49">
        <f t="shared" si="35"/>
        <v>1</v>
      </c>
      <c r="T49" t="str">
        <f>IF(V49="","",IFERROR(VLOOKUP(TRIM($V49),KEY!$B$2:$E$58,2,FALSE),""))</f>
        <v>PO</v>
      </c>
      <c r="V49" s="64" t="s">
        <v>45</v>
      </c>
      <c r="W49" s="64">
        <v>16</v>
      </c>
      <c r="X49" s="64">
        <v>1</v>
      </c>
      <c r="Y49" s="64">
        <v>6.25E-2</v>
      </c>
      <c r="Z49" s="64">
        <v>1</v>
      </c>
      <c r="AA49" s="64">
        <v>1</v>
      </c>
      <c r="AB49" s="64">
        <v>4</v>
      </c>
      <c r="AC49" s="64">
        <v>7</v>
      </c>
      <c r="AD49" s="64">
        <v>13</v>
      </c>
      <c r="AE49" s="64">
        <v>0.8125</v>
      </c>
      <c r="AF49" s="64">
        <v>2</v>
      </c>
      <c r="AG49" s="64">
        <v>0</v>
      </c>
      <c r="AH49" s="64">
        <v>0</v>
      </c>
      <c r="AI49" s="64">
        <v>0.125</v>
      </c>
      <c r="AJ49" s="64">
        <v>0</v>
      </c>
      <c r="AK49" s="64">
        <v>1</v>
      </c>
      <c r="AL49" s="64">
        <v>0</v>
      </c>
      <c r="AM49" s="64">
        <v>6.25E-2</v>
      </c>
    </row>
    <row r="50" spans="2:39" x14ac:dyDescent="0.2">
      <c r="B50" t="str">
        <f t="shared" si="6"/>
        <v>TX-5</v>
      </c>
      <c r="C50" t="str">
        <f t="shared" si="7"/>
        <v>Nov 2024-TX-5</v>
      </c>
      <c r="D50">
        <f t="shared" si="30"/>
        <v>5</v>
      </c>
      <c r="E50">
        <f t="shared" si="8"/>
        <v>3.08</v>
      </c>
      <c r="F50">
        <f t="shared" si="31"/>
        <v>8</v>
      </c>
      <c r="G50">
        <f t="shared" si="32"/>
        <v>3</v>
      </c>
      <c r="H50" t="str">
        <f>IF(V50="","",IFERROR(VLOOKUP(TRIM($V50),KEY!$B$2:$E$58,3,FALSE),""))</f>
        <v>TX</v>
      </c>
      <c r="I50" t="str">
        <f t="shared" si="9"/>
        <v>WEST-6</v>
      </c>
      <c r="J50" t="str">
        <f t="shared" si="10"/>
        <v>Nov 2024-WEST-6</v>
      </c>
      <c r="K50">
        <f t="shared" si="11"/>
        <v>6</v>
      </c>
      <c r="L50">
        <f t="shared" si="12"/>
        <v>6.47</v>
      </c>
      <c r="M50">
        <f>IF(V50="","",IFERROR(VLOOKUP(TRIM($V50),KEY!$B$2:$E$58,4,FALSE),""))</f>
        <v>47</v>
      </c>
      <c r="N50">
        <f t="shared" si="13"/>
        <v>6</v>
      </c>
      <c r="O50" t="str">
        <f t="shared" si="14"/>
        <v>HO-2</v>
      </c>
      <c r="P50">
        <f t="shared" si="33"/>
        <v>2</v>
      </c>
      <c r="Q50">
        <f t="shared" si="15"/>
        <v>1.05</v>
      </c>
      <c r="R50">
        <f t="shared" si="34"/>
        <v>5</v>
      </c>
      <c r="S50">
        <f t="shared" si="35"/>
        <v>1</v>
      </c>
      <c r="T50" t="str">
        <f>IF(V50="","",IFERROR(VLOOKUP(TRIM($V50),KEY!$B$2:$E$58,2,FALSE),""))</f>
        <v>HO</v>
      </c>
      <c r="V50" s="64" t="s">
        <v>25</v>
      </c>
      <c r="W50" s="64">
        <v>26</v>
      </c>
      <c r="X50" s="64">
        <v>14</v>
      </c>
      <c r="Y50" s="64">
        <v>0.53846153846153844</v>
      </c>
      <c r="Z50" s="64">
        <v>0</v>
      </c>
      <c r="AA50" s="64">
        <v>14</v>
      </c>
      <c r="AB50" s="64">
        <v>0</v>
      </c>
      <c r="AC50" s="64">
        <v>3</v>
      </c>
      <c r="AD50" s="64">
        <v>17</v>
      </c>
      <c r="AE50" s="64">
        <v>0.65384615384615385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9</v>
      </c>
      <c r="AL50" s="64">
        <v>0</v>
      </c>
      <c r="AM50" s="64">
        <v>0.34615384615384615</v>
      </c>
    </row>
    <row r="51" spans="2:39" x14ac:dyDescent="0.2">
      <c r="B51" t="str">
        <f t="shared" si="6"/>
        <v>TX-10</v>
      </c>
      <c r="C51" t="str">
        <f t="shared" si="7"/>
        <v>Nov 2024-TX-10</v>
      </c>
      <c r="D51">
        <f t="shared" si="30"/>
        <v>10</v>
      </c>
      <c r="E51">
        <f t="shared" si="8"/>
        <v>7.09</v>
      </c>
      <c r="F51">
        <f t="shared" si="31"/>
        <v>9</v>
      </c>
      <c r="G51">
        <f t="shared" si="32"/>
        <v>7</v>
      </c>
      <c r="H51" t="str">
        <f>IF(V51="","",IFERROR(VLOOKUP(TRIM($V51),KEY!$B$2:$E$58,3,FALSE),""))</f>
        <v>TX</v>
      </c>
      <c r="I51" t="str">
        <f t="shared" si="9"/>
        <v>WEST-51</v>
      </c>
      <c r="J51" t="str">
        <f t="shared" si="10"/>
        <v>Nov 2024-WEST-51</v>
      </c>
      <c r="K51">
        <f t="shared" si="11"/>
        <v>51</v>
      </c>
      <c r="L51">
        <f t="shared" si="12"/>
        <v>41.48</v>
      </c>
      <c r="M51">
        <f>IF(V51="","",IFERROR(VLOOKUP(TRIM($V51),KEY!$B$2:$E$58,4,FALSE),""))</f>
        <v>48</v>
      </c>
      <c r="N51">
        <f t="shared" si="13"/>
        <v>41</v>
      </c>
      <c r="O51" t="str">
        <f t="shared" si="14"/>
        <v>HY-2</v>
      </c>
      <c r="P51">
        <f t="shared" si="33"/>
        <v>2</v>
      </c>
      <c r="Q51">
        <f t="shared" si="15"/>
        <v>2.02</v>
      </c>
      <c r="R51">
        <f t="shared" si="34"/>
        <v>2</v>
      </c>
      <c r="S51">
        <f t="shared" si="35"/>
        <v>2</v>
      </c>
      <c r="T51" t="str">
        <f>IF(V51="","",IFERROR(VLOOKUP(TRIM($V51),KEY!$B$2:$E$58,2,FALSE),""))</f>
        <v>HY</v>
      </c>
      <c r="V51" s="64" t="s">
        <v>28</v>
      </c>
      <c r="W51" s="64">
        <v>10</v>
      </c>
      <c r="X51" s="64">
        <v>0</v>
      </c>
      <c r="Y51" s="64">
        <v>0</v>
      </c>
      <c r="Z51" s="64">
        <v>1</v>
      </c>
      <c r="AA51" s="64">
        <v>0</v>
      </c>
      <c r="AB51" s="64">
        <v>0</v>
      </c>
      <c r="AC51" s="64">
        <v>3</v>
      </c>
      <c r="AD51" s="64">
        <v>4</v>
      </c>
      <c r="AE51" s="64">
        <v>0.4</v>
      </c>
      <c r="AF51" s="64">
        <v>0</v>
      </c>
      <c r="AG51" s="64">
        <v>0</v>
      </c>
      <c r="AH51" s="64">
        <v>0</v>
      </c>
      <c r="AI51" s="64">
        <v>0</v>
      </c>
      <c r="AJ51" s="64">
        <v>3</v>
      </c>
      <c r="AK51" s="64">
        <v>3</v>
      </c>
      <c r="AL51" s="64">
        <v>0</v>
      </c>
      <c r="AM51" s="64">
        <v>0.6</v>
      </c>
    </row>
    <row r="52" spans="2:39" x14ac:dyDescent="0.2">
      <c r="B52" t="str">
        <f t="shared" si="6"/>
        <v>TX-11</v>
      </c>
      <c r="C52" t="str">
        <f t="shared" si="7"/>
        <v>Nov 2024-TX-11</v>
      </c>
      <c r="D52">
        <f t="shared" si="30"/>
        <v>11</v>
      </c>
      <c r="E52">
        <f t="shared" si="8"/>
        <v>7.1</v>
      </c>
      <c r="F52">
        <f t="shared" si="31"/>
        <v>10</v>
      </c>
      <c r="G52">
        <f t="shared" si="32"/>
        <v>7</v>
      </c>
      <c r="H52" t="str">
        <f>IF(V52="","",IFERROR(VLOOKUP(TRIM($V52),KEY!$B$2:$E$58,3,FALSE),""))</f>
        <v>TX</v>
      </c>
      <c r="I52" t="str">
        <f t="shared" si="9"/>
        <v>WEST-52</v>
      </c>
      <c r="J52" t="str">
        <f t="shared" si="10"/>
        <v>Nov 2024-WEST-52</v>
      </c>
      <c r="K52">
        <f t="shared" si="11"/>
        <v>52</v>
      </c>
      <c r="L52">
        <f t="shared" si="12"/>
        <v>41.49</v>
      </c>
      <c r="M52">
        <f>IF(V52="","",IFERROR(VLOOKUP(TRIM($V52),KEY!$B$2:$E$58,4,FALSE),""))</f>
        <v>49</v>
      </c>
      <c r="N52">
        <f t="shared" si="13"/>
        <v>41</v>
      </c>
      <c r="O52" t="str">
        <f t="shared" si="14"/>
        <v>TO-5</v>
      </c>
      <c r="P52">
        <f t="shared" si="33"/>
        <v>5</v>
      </c>
      <c r="Q52">
        <f t="shared" si="15"/>
        <v>5.0199999999999996</v>
      </c>
      <c r="R52">
        <f t="shared" si="34"/>
        <v>2</v>
      </c>
      <c r="S52">
        <f t="shared" si="35"/>
        <v>5</v>
      </c>
      <c r="T52" t="str">
        <f>IF(V52="","",IFERROR(VLOOKUP(TRIM($V52),KEY!$B$2:$E$58,2,FALSE),""))</f>
        <v>TO</v>
      </c>
      <c r="V52" s="64" t="s">
        <v>48</v>
      </c>
      <c r="W52" s="64">
        <v>4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1</v>
      </c>
      <c r="AD52" s="64">
        <v>1</v>
      </c>
      <c r="AE52" s="64">
        <v>0.25</v>
      </c>
      <c r="AF52" s="64">
        <v>0</v>
      </c>
      <c r="AG52" s="64">
        <v>0</v>
      </c>
      <c r="AH52" s="64">
        <v>0</v>
      </c>
      <c r="AI52" s="64">
        <v>0</v>
      </c>
      <c r="AJ52" s="64">
        <v>0</v>
      </c>
      <c r="AK52" s="64">
        <v>3</v>
      </c>
      <c r="AL52" s="64">
        <v>0</v>
      </c>
      <c r="AM52" s="64">
        <v>0.75</v>
      </c>
    </row>
    <row r="53" spans="2:39" x14ac:dyDescent="0.2">
      <c r="B53" t="str">
        <f t="shared" si="6"/>
        <v>AZ-18</v>
      </c>
      <c r="C53" t="str">
        <f t="shared" si="7"/>
        <v>Nov 2024-AZ-18</v>
      </c>
      <c r="D53">
        <f t="shared" si="30"/>
        <v>18</v>
      </c>
      <c r="E53">
        <f t="shared" si="8"/>
        <v>12.15</v>
      </c>
      <c r="F53">
        <f t="shared" si="31"/>
        <v>15</v>
      </c>
      <c r="G53">
        <f t="shared" si="32"/>
        <v>12</v>
      </c>
      <c r="H53" t="str">
        <f>IF(V53="","",IFERROR(VLOOKUP(TRIM($V53),KEY!$B$2:$E$58,3,FALSE),""))</f>
        <v>AZ</v>
      </c>
      <c r="I53" t="str">
        <f t="shared" si="9"/>
        <v>WEST-53</v>
      </c>
      <c r="J53" t="str">
        <f t="shared" si="10"/>
        <v>Nov 2024-WEST-53</v>
      </c>
      <c r="K53">
        <f t="shared" si="11"/>
        <v>53</v>
      </c>
      <c r="L53">
        <f t="shared" si="12"/>
        <v>41.5</v>
      </c>
      <c r="M53">
        <f>IF(V53="","",IFERROR(VLOOKUP(TRIM($V53),KEY!$B$2:$E$58,4,FALSE),""))</f>
        <v>50</v>
      </c>
      <c r="N53">
        <f t="shared" si="13"/>
        <v>41</v>
      </c>
      <c r="O53" t="str">
        <f t="shared" si="14"/>
        <v>FE-1</v>
      </c>
      <c r="P53">
        <f t="shared" si="33"/>
        <v>1</v>
      </c>
      <c r="Q53">
        <f t="shared" si="15"/>
        <v>1.01</v>
      </c>
      <c r="R53">
        <f t="shared" si="34"/>
        <v>1</v>
      </c>
      <c r="S53">
        <f t="shared" si="35"/>
        <v>1</v>
      </c>
      <c r="T53" t="str">
        <f>IF(V53="","",IFERROR(VLOOKUP(TRIM($V53),KEY!$B$2:$E$58,2,FALSE),""))</f>
        <v>FE</v>
      </c>
      <c r="V53" s="64" t="s">
        <v>46</v>
      </c>
      <c r="W53" s="64">
        <v>5</v>
      </c>
      <c r="X53" s="64">
        <v>0</v>
      </c>
      <c r="Y53" s="64">
        <v>0</v>
      </c>
      <c r="Z53" s="64">
        <v>0</v>
      </c>
      <c r="AA53" s="64">
        <v>0</v>
      </c>
      <c r="AB53" s="64">
        <v>0</v>
      </c>
      <c r="AC53" s="64">
        <v>2</v>
      </c>
      <c r="AD53" s="64">
        <v>2</v>
      </c>
      <c r="AE53" s="64">
        <v>0.4</v>
      </c>
      <c r="AF53" s="64">
        <v>0</v>
      </c>
      <c r="AG53" s="64">
        <v>1</v>
      </c>
      <c r="AH53" s="64">
        <v>1</v>
      </c>
      <c r="AI53" s="64">
        <v>0.4</v>
      </c>
      <c r="AJ53" s="64">
        <v>1</v>
      </c>
      <c r="AK53" s="64">
        <v>0</v>
      </c>
      <c r="AL53" s="64">
        <v>0</v>
      </c>
      <c r="AM53" s="64">
        <v>0.2</v>
      </c>
    </row>
    <row r="54" spans="2:39" x14ac:dyDescent="0.2">
      <c r="B54" t="str">
        <f t="shared" si="6"/>
        <v>OC-9</v>
      </c>
      <c r="C54" t="str">
        <f t="shared" si="7"/>
        <v>Nov 2024-OC-9</v>
      </c>
      <c r="D54">
        <f t="shared" si="30"/>
        <v>9</v>
      </c>
      <c r="E54">
        <f t="shared" si="8"/>
        <v>6.08</v>
      </c>
      <c r="F54">
        <f t="shared" si="31"/>
        <v>8</v>
      </c>
      <c r="G54">
        <f t="shared" si="32"/>
        <v>6</v>
      </c>
      <c r="H54" t="str">
        <f>IF(V54="","",IFERROR(VLOOKUP(TRIM($V54),KEY!$B$2:$E$58,3,FALSE),""))</f>
        <v>OC</v>
      </c>
      <c r="I54" t="str">
        <f t="shared" si="9"/>
        <v>WEST-54</v>
      </c>
      <c r="J54" t="str">
        <f t="shared" si="10"/>
        <v>Nov 2024-WEST-54</v>
      </c>
      <c r="K54">
        <f t="shared" si="11"/>
        <v>54</v>
      </c>
      <c r="L54">
        <f t="shared" si="12"/>
        <v>41.51</v>
      </c>
      <c r="M54">
        <f>IF(V54="","",IFERROR(VLOOKUP(TRIM($V54),KEY!$B$2:$E$58,4,FALSE),""))</f>
        <v>51</v>
      </c>
      <c r="N54">
        <f t="shared" si="13"/>
        <v>41</v>
      </c>
      <c r="O54" t="str">
        <f t="shared" si="14"/>
        <v>SU-1</v>
      </c>
      <c r="P54">
        <f t="shared" si="33"/>
        <v>1</v>
      </c>
      <c r="Q54">
        <f t="shared" si="15"/>
        <v>1.01</v>
      </c>
      <c r="R54">
        <f t="shared" si="34"/>
        <v>1</v>
      </c>
      <c r="S54">
        <f t="shared" si="35"/>
        <v>1</v>
      </c>
      <c r="T54" t="str">
        <f>IF(V54="","",IFERROR(VLOOKUP(TRIM($V54),KEY!$B$2:$E$58,2,FALSE),""))</f>
        <v>SU</v>
      </c>
      <c r="V54" s="64" t="s">
        <v>47</v>
      </c>
      <c r="W54" s="64">
        <v>4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3</v>
      </c>
      <c r="AD54" s="64">
        <v>3</v>
      </c>
      <c r="AE54" s="64">
        <v>0.75</v>
      </c>
      <c r="AF54" s="64">
        <v>0</v>
      </c>
      <c r="AG54" s="64">
        <v>0</v>
      </c>
      <c r="AH54" s="64">
        <v>0</v>
      </c>
      <c r="AI54" s="64">
        <v>0</v>
      </c>
      <c r="AJ54" s="64">
        <v>1</v>
      </c>
      <c r="AK54" s="64">
        <v>0</v>
      </c>
      <c r="AL54" s="64">
        <v>0</v>
      </c>
      <c r="AM54" s="64">
        <v>0.25</v>
      </c>
    </row>
    <row r="55" spans="2:39" x14ac:dyDescent="0.2">
      <c r="B55" t="str">
        <f t="shared" si="6"/>
        <v>AZ-4</v>
      </c>
      <c r="C55" t="str">
        <f t="shared" si="7"/>
        <v>Nov 2024-AZ-4</v>
      </c>
      <c r="D55">
        <f t="shared" si="30"/>
        <v>4</v>
      </c>
      <c r="E55">
        <f t="shared" si="8"/>
        <v>3.16</v>
      </c>
      <c r="F55">
        <f t="shared" si="31"/>
        <v>16</v>
      </c>
      <c r="G55">
        <f t="shared" si="32"/>
        <v>3</v>
      </c>
      <c r="H55" t="str">
        <f>IF(V55="","",IFERROR(VLOOKUP(TRIM($V55),KEY!$B$2:$E$58,3,FALSE),""))</f>
        <v>AZ</v>
      </c>
      <c r="I55" t="str">
        <f t="shared" si="9"/>
        <v>WEST-11</v>
      </c>
      <c r="J55" t="str">
        <f t="shared" si="10"/>
        <v>Nov 2024-WEST-11</v>
      </c>
      <c r="K55">
        <f t="shared" si="11"/>
        <v>11</v>
      </c>
      <c r="L55">
        <f t="shared" si="12"/>
        <v>10.52</v>
      </c>
      <c r="M55">
        <f>IF(V55="","",IFERROR(VLOOKUP(TRIM($V55),KEY!$B$2:$E$58,4,FALSE),""))</f>
        <v>52</v>
      </c>
      <c r="N55">
        <f t="shared" si="13"/>
        <v>10</v>
      </c>
      <c r="O55" t="str">
        <f t="shared" si="14"/>
        <v>HO-3</v>
      </c>
      <c r="P55">
        <f t="shared" si="33"/>
        <v>3</v>
      </c>
      <c r="Q55">
        <f t="shared" si="15"/>
        <v>2.06</v>
      </c>
      <c r="R55">
        <f t="shared" si="34"/>
        <v>6</v>
      </c>
      <c r="S55">
        <f t="shared" si="35"/>
        <v>2</v>
      </c>
      <c r="T55" t="str">
        <f>IF(V55="","",IFERROR(VLOOKUP(TRIM($V55),KEY!$B$2:$E$58,2,FALSE),""))</f>
        <v>HO</v>
      </c>
      <c r="V55" s="64" t="s">
        <v>26</v>
      </c>
      <c r="W55" s="64">
        <v>34</v>
      </c>
      <c r="X55" s="64">
        <v>14</v>
      </c>
      <c r="Y55" s="64">
        <v>0.41176470588235292</v>
      </c>
      <c r="Z55" s="64">
        <v>1</v>
      </c>
      <c r="AA55" s="64">
        <v>14</v>
      </c>
      <c r="AB55" s="64">
        <v>3</v>
      </c>
      <c r="AC55" s="64">
        <v>7</v>
      </c>
      <c r="AD55" s="64">
        <v>25</v>
      </c>
      <c r="AE55" s="64">
        <v>0.73529411764705888</v>
      </c>
      <c r="AF55" s="64">
        <v>0</v>
      </c>
      <c r="AG55" s="64">
        <v>1</v>
      </c>
      <c r="AH55" s="64">
        <v>3</v>
      </c>
      <c r="AI55" s="64">
        <v>0.11764705882352941</v>
      </c>
      <c r="AJ55" s="64">
        <v>3</v>
      </c>
      <c r="AK55" s="64">
        <v>2</v>
      </c>
      <c r="AL55" s="64">
        <v>0</v>
      </c>
      <c r="AM55" s="64">
        <v>0.14705882352941177</v>
      </c>
    </row>
    <row r="56" spans="2:39" x14ac:dyDescent="0.2">
      <c r="B56" t="str">
        <f t="shared" si="6"/>
        <v>NorCal-6</v>
      </c>
      <c r="C56" t="str">
        <f t="shared" si="7"/>
        <v>Nov 2024-NorCal-6</v>
      </c>
      <c r="D56">
        <f t="shared" si="30"/>
        <v>6</v>
      </c>
      <c r="E56">
        <f t="shared" si="8"/>
        <v>6.08</v>
      </c>
      <c r="F56">
        <f t="shared" si="31"/>
        <v>8</v>
      </c>
      <c r="G56">
        <f t="shared" si="32"/>
        <v>6</v>
      </c>
      <c r="H56" t="str">
        <f>IF(V56="","",IFERROR(VLOOKUP(TRIM($V56),KEY!$B$2:$E$58,3,FALSE),""))</f>
        <v>NorCal</v>
      </c>
      <c r="I56" t="str">
        <f t="shared" si="9"/>
        <v>WEST-31</v>
      </c>
      <c r="J56" t="str">
        <f t="shared" si="10"/>
        <v>Nov 2024-WEST-31</v>
      </c>
      <c r="K56">
        <f t="shared" si="11"/>
        <v>31</v>
      </c>
      <c r="L56">
        <f t="shared" si="12"/>
        <v>31.53</v>
      </c>
      <c r="M56">
        <f>IF(V56="","",IFERROR(VLOOKUP(TRIM($V56),KEY!$B$2:$E$58,4,FALSE),""))</f>
        <v>53</v>
      </c>
      <c r="N56">
        <f t="shared" si="13"/>
        <v>31</v>
      </c>
      <c r="O56" t="str">
        <f t="shared" si="14"/>
        <v>TO-3</v>
      </c>
      <c r="P56">
        <f t="shared" si="33"/>
        <v>3</v>
      </c>
      <c r="Q56">
        <f t="shared" si="15"/>
        <v>3.03</v>
      </c>
      <c r="R56">
        <f t="shared" si="34"/>
        <v>3</v>
      </c>
      <c r="S56">
        <f t="shared" si="35"/>
        <v>3</v>
      </c>
      <c r="T56" t="str">
        <f>IF(V56="","",IFERROR(VLOOKUP(TRIM($V56),KEY!$B$2:$E$58,2,FALSE),""))</f>
        <v>TO</v>
      </c>
      <c r="V56" s="64" t="s">
        <v>50</v>
      </c>
      <c r="W56" s="64">
        <v>9</v>
      </c>
      <c r="X56" s="64">
        <v>2</v>
      </c>
      <c r="Y56" s="64">
        <v>0.22222222222222221</v>
      </c>
      <c r="Z56" s="64">
        <v>0</v>
      </c>
      <c r="AA56" s="64">
        <v>2</v>
      </c>
      <c r="AB56" s="64">
        <v>1</v>
      </c>
      <c r="AC56" s="64">
        <v>3</v>
      </c>
      <c r="AD56" s="64">
        <v>6</v>
      </c>
      <c r="AE56" s="64">
        <v>0.66666666666666663</v>
      </c>
      <c r="AF56" s="64">
        <v>1</v>
      </c>
      <c r="AG56" s="64">
        <v>0</v>
      </c>
      <c r="AH56" s="64">
        <v>0</v>
      </c>
      <c r="AI56" s="64">
        <v>0.1111111111111111</v>
      </c>
      <c r="AJ56" s="64">
        <v>1</v>
      </c>
      <c r="AK56" s="64">
        <v>1</v>
      </c>
      <c r="AL56" s="64">
        <v>0</v>
      </c>
      <c r="AM56" s="64">
        <v>0.22222222222222221</v>
      </c>
    </row>
    <row r="57" spans="2:39" x14ac:dyDescent="0.2">
      <c r="B57" t="str">
        <f t="shared" si="6"/>
        <v>TX-7</v>
      </c>
      <c r="C57" t="str">
        <f t="shared" si="7"/>
        <v>Nov 2024-TX-7</v>
      </c>
      <c r="D57">
        <f t="shared" si="30"/>
        <v>7</v>
      </c>
      <c r="E57">
        <f t="shared" si="8"/>
        <v>5.1100000000000003</v>
      </c>
      <c r="F57">
        <f t="shared" si="31"/>
        <v>11</v>
      </c>
      <c r="G57">
        <f t="shared" si="32"/>
        <v>5</v>
      </c>
      <c r="H57" t="str">
        <f>IF(V57="","",IFERROR(VLOOKUP(TRIM($V57),KEY!$B$2:$E$58,3,FALSE),""))</f>
        <v>TX</v>
      </c>
      <c r="I57" t="str">
        <f t="shared" si="9"/>
        <v>WEST-26</v>
      </c>
      <c r="J57" t="str">
        <f t="shared" si="10"/>
        <v>Nov 2024-WEST-26</v>
      </c>
      <c r="K57">
        <f t="shared" si="11"/>
        <v>26</v>
      </c>
      <c r="L57">
        <f t="shared" si="12"/>
        <v>26.54</v>
      </c>
      <c r="M57">
        <f>IF(V57="","",IFERROR(VLOOKUP(TRIM($V57),KEY!$B$2:$E$58,4,FALSE),""))</f>
        <v>54</v>
      </c>
      <c r="N57">
        <f t="shared" si="13"/>
        <v>26</v>
      </c>
      <c r="O57" t="str">
        <f t="shared" si="14"/>
        <v>TO-1</v>
      </c>
      <c r="P57">
        <f t="shared" si="33"/>
        <v>1</v>
      </c>
      <c r="Q57">
        <f t="shared" si="15"/>
        <v>1.04</v>
      </c>
      <c r="R57">
        <f t="shared" si="34"/>
        <v>4</v>
      </c>
      <c r="S57">
        <f t="shared" si="35"/>
        <v>1</v>
      </c>
      <c r="T57" t="str">
        <f>IF(V57="","",IFERROR(VLOOKUP(TRIM($V57),KEY!$B$2:$E$58,2,FALSE),""))</f>
        <v>TO</v>
      </c>
      <c r="V57" s="64" t="s">
        <v>51</v>
      </c>
      <c r="W57" s="64">
        <v>44</v>
      </c>
      <c r="X57" s="64">
        <v>12</v>
      </c>
      <c r="Y57" s="64">
        <v>0.27272727272727271</v>
      </c>
      <c r="Z57" s="64">
        <v>2</v>
      </c>
      <c r="AA57" s="64">
        <v>12</v>
      </c>
      <c r="AB57" s="64">
        <v>5</v>
      </c>
      <c r="AC57" s="64">
        <v>19</v>
      </c>
      <c r="AD57" s="64">
        <v>38</v>
      </c>
      <c r="AE57" s="64">
        <v>0.86363636363636365</v>
      </c>
      <c r="AF57" s="64">
        <v>0</v>
      </c>
      <c r="AG57" s="64">
        <v>1</v>
      </c>
      <c r="AH57" s="64">
        <v>0</v>
      </c>
      <c r="AI57" s="64">
        <v>2.2727272727272728E-2</v>
      </c>
      <c r="AJ57" s="64">
        <v>0</v>
      </c>
      <c r="AK57" s="64">
        <v>5</v>
      </c>
      <c r="AL57" s="64">
        <v>0</v>
      </c>
      <c r="AM57" s="64">
        <v>0.11363636363636363</v>
      </c>
    </row>
    <row r="58" spans="2:39" x14ac:dyDescent="0.2">
      <c r="B58" t="str">
        <f t="shared" si="6"/>
        <v>AZ-8</v>
      </c>
      <c r="C58" t="str">
        <f t="shared" si="7"/>
        <v>Nov 2024-AZ-8</v>
      </c>
      <c r="D58">
        <f t="shared" si="30"/>
        <v>8</v>
      </c>
      <c r="E58">
        <f t="shared" si="8"/>
        <v>7.17</v>
      </c>
      <c r="F58">
        <f t="shared" si="31"/>
        <v>17</v>
      </c>
      <c r="G58">
        <f t="shared" si="32"/>
        <v>7</v>
      </c>
      <c r="H58" t="str">
        <f>IF(V58="","",IFERROR(VLOOKUP(TRIM($V58),KEY!$B$2:$E$58,3,FALSE),""))</f>
        <v>AZ</v>
      </c>
      <c r="I58" t="str">
        <f t="shared" si="9"/>
        <v>WEST-29</v>
      </c>
      <c r="J58" t="str">
        <f t="shared" si="10"/>
        <v>Nov 2024-WEST-29</v>
      </c>
      <c r="K58">
        <f t="shared" si="11"/>
        <v>29</v>
      </c>
      <c r="L58">
        <f t="shared" si="12"/>
        <v>27.55</v>
      </c>
      <c r="M58">
        <f>IF(V58="","",IFERROR(VLOOKUP(TRIM($V58),KEY!$B$2:$E$58,4,FALSE),""))</f>
        <v>55</v>
      </c>
      <c r="N58">
        <f t="shared" si="13"/>
        <v>27</v>
      </c>
      <c r="O58" t="str">
        <f t="shared" si="14"/>
        <v>TO-2</v>
      </c>
      <c r="P58">
        <f t="shared" si="33"/>
        <v>2</v>
      </c>
      <c r="Q58">
        <f t="shared" si="15"/>
        <v>2.0499999999999998</v>
      </c>
      <c r="R58">
        <f t="shared" si="34"/>
        <v>5</v>
      </c>
      <c r="S58">
        <f t="shared" si="35"/>
        <v>2</v>
      </c>
      <c r="T58" t="str">
        <f>IF(V58="","",IFERROR(VLOOKUP(TRIM($V58),KEY!$B$2:$E$58,2,FALSE),""))</f>
        <v>TO</v>
      </c>
      <c r="V58" s="64" t="s">
        <v>52</v>
      </c>
      <c r="W58" s="64">
        <v>8</v>
      </c>
      <c r="X58" s="64">
        <v>2</v>
      </c>
      <c r="Y58" s="64">
        <v>0.25</v>
      </c>
      <c r="Z58" s="64">
        <v>0</v>
      </c>
      <c r="AA58" s="64">
        <v>2</v>
      </c>
      <c r="AB58" s="64">
        <v>0</v>
      </c>
      <c r="AC58" s="64">
        <v>0</v>
      </c>
      <c r="AD58" s="64">
        <v>2</v>
      </c>
      <c r="AE58" s="64">
        <v>0.25</v>
      </c>
      <c r="AF58" s="64">
        <v>3</v>
      </c>
      <c r="AG58" s="64">
        <v>0</v>
      </c>
      <c r="AH58" s="64">
        <v>0</v>
      </c>
      <c r="AI58" s="64">
        <v>0.375</v>
      </c>
      <c r="AJ58" s="64">
        <v>0</v>
      </c>
      <c r="AK58" s="64">
        <v>3</v>
      </c>
      <c r="AL58" s="64">
        <v>0</v>
      </c>
      <c r="AM58" s="64">
        <v>0.375</v>
      </c>
    </row>
    <row r="59" spans="2:39" x14ac:dyDescent="0.2">
      <c r="B59" t="str">
        <f t="shared" si="6"/>
        <v>AZ-10</v>
      </c>
      <c r="C59" t="str">
        <f t="shared" si="7"/>
        <v>Nov 2024-AZ-10</v>
      </c>
      <c r="D59">
        <f t="shared" si="30"/>
        <v>10</v>
      </c>
      <c r="E59">
        <f t="shared" si="8"/>
        <v>10.18</v>
      </c>
      <c r="F59">
        <f t="shared" si="31"/>
        <v>18</v>
      </c>
      <c r="G59">
        <f t="shared" si="32"/>
        <v>10</v>
      </c>
      <c r="H59" t="str">
        <f>IF(V59="","",IFERROR(VLOOKUP(TRIM($V59),KEY!$B$2:$E$58,3,FALSE),""))</f>
        <v>AZ</v>
      </c>
      <c r="I59" t="str">
        <f t="shared" si="9"/>
        <v>WEST-33</v>
      </c>
      <c r="J59" t="str">
        <f t="shared" si="10"/>
        <v>Nov 2024-WEST-33</v>
      </c>
      <c r="K59">
        <f t="shared" si="11"/>
        <v>33</v>
      </c>
      <c r="L59">
        <f t="shared" si="12"/>
        <v>33.56</v>
      </c>
      <c r="M59">
        <f>IF(V59="","",IFERROR(VLOOKUP(TRIM($V59),KEY!$B$2:$E$58,4,FALSE),""))</f>
        <v>56</v>
      </c>
      <c r="N59">
        <f t="shared" si="13"/>
        <v>33</v>
      </c>
      <c r="O59" t="str">
        <f t="shared" si="14"/>
        <v>VW-1</v>
      </c>
      <c r="P59">
        <f t="shared" si="33"/>
        <v>1</v>
      </c>
      <c r="Q59">
        <f t="shared" si="15"/>
        <v>1.01</v>
      </c>
      <c r="R59">
        <f t="shared" si="34"/>
        <v>1</v>
      </c>
      <c r="S59">
        <f t="shared" si="35"/>
        <v>1</v>
      </c>
      <c r="T59" t="str">
        <f>IF(V59="","",IFERROR(VLOOKUP(TRIM($V59),KEY!$B$2:$E$58,2,FALSE),""))</f>
        <v>VW</v>
      </c>
      <c r="V59" t="s">
        <v>53</v>
      </c>
      <c r="W59">
        <v>16</v>
      </c>
      <c r="X59">
        <v>3</v>
      </c>
      <c r="Y59">
        <v>0.1875</v>
      </c>
      <c r="Z59">
        <v>1</v>
      </c>
      <c r="AA59">
        <v>3</v>
      </c>
      <c r="AB59">
        <v>1</v>
      </c>
      <c r="AC59">
        <v>1</v>
      </c>
      <c r="AD59">
        <v>6</v>
      </c>
      <c r="AE59">
        <v>0.375</v>
      </c>
      <c r="AF59">
        <v>0</v>
      </c>
      <c r="AG59">
        <v>0</v>
      </c>
      <c r="AH59">
        <v>0</v>
      </c>
      <c r="AI59">
        <v>0</v>
      </c>
      <c r="AJ59">
        <v>7</v>
      </c>
      <c r="AK59">
        <v>3</v>
      </c>
      <c r="AL59">
        <v>0</v>
      </c>
      <c r="AM59">
        <v>0.625</v>
      </c>
    </row>
    <row r="60" spans="2:39" x14ac:dyDescent="0.2">
      <c r="B60" t="str">
        <f t="shared" si="6"/>
        <v>OC-6</v>
      </c>
      <c r="C60" t="str">
        <f t="shared" si="7"/>
        <v>Nov 2024-OC-6</v>
      </c>
      <c r="D60">
        <f t="shared" si="30"/>
        <v>6</v>
      </c>
      <c r="E60">
        <f t="shared" si="8"/>
        <v>5.09</v>
      </c>
      <c r="F60">
        <f t="shared" si="31"/>
        <v>9</v>
      </c>
      <c r="G60">
        <f t="shared" si="32"/>
        <v>5</v>
      </c>
      <c r="H60" t="str">
        <f>IF(V60="","",IFERROR(VLOOKUP(TRIM($V60),KEY!$B$2:$E$58,3,FALSE),""))</f>
        <v>OC</v>
      </c>
      <c r="I60" t="str">
        <f t="shared" si="9"/>
        <v>WEST-40</v>
      </c>
      <c r="J60" t="str">
        <f t="shared" si="10"/>
        <v>Nov 2024-WEST-40</v>
      </c>
      <c r="K60">
        <f t="shared" si="11"/>
        <v>40</v>
      </c>
      <c r="L60">
        <f t="shared" si="12"/>
        <v>40.57</v>
      </c>
      <c r="M60">
        <f>IF(V60="","",IFERROR(VLOOKUP(TRIM($V60),KEY!$B$2:$E$58,4,FALSE),""))</f>
        <v>57</v>
      </c>
      <c r="N60">
        <f t="shared" si="13"/>
        <v>40</v>
      </c>
      <c r="O60" t="str">
        <f t="shared" si="14"/>
        <v>VW-2</v>
      </c>
      <c r="P60">
        <f t="shared" si="33"/>
        <v>2</v>
      </c>
      <c r="Q60">
        <f t="shared" si="15"/>
        <v>2.02</v>
      </c>
      <c r="R60">
        <f t="shared" si="34"/>
        <v>2</v>
      </c>
      <c r="S60">
        <f t="shared" si="35"/>
        <v>2</v>
      </c>
      <c r="T60" t="str">
        <f>IF(V60="","",IFERROR(VLOOKUP(TRIM($V60),KEY!$B$2:$E$58,2,FALSE),""))</f>
        <v>VW</v>
      </c>
      <c r="V60" t="s">
        <v>54</v>
      </c>
      <c r="W60">
        <v>39</v>
      </c>
      <c r="X60">
        <v>2</v>
      </c>
      <c r="Y60">
        <v>5.128205128205128E-2</v>
      </c>
      <c r="Z60">
        <v>12</v>
      </c>
      <c r="AA60">
        <v>2</v>
      </c>
      <c r="AB60">
        <v>8</v>
      </c>
      <c r="AC60">
        <v>0</v>
      </c>
      <c r="AD60">
        <v>22</v>
      </c>
      <c r="AE60">
        <v>0.5641025641025641</v>
      </c>
      <c r="AF60">
        <v>0</v>
      </c>
      <c r="AG60">
        <v>0</v>
      </c>
      <c r="AH60">
        <v>0</v>
      </c>
      <c r="AI60">
        <v>0</v>
      </c>
      <c r="AJ60">
        <v>17</v>
      </c>
      <c r="AK60">
        <v>0</v>
      </c>
      <c r="AL60">
        <v>0</v>
      </c>
      <c r="AM60">
        <v>0.4358974358974359</v>
      </c>
    </row>
    <row r="61" spans="2:39" x14ac:dyDescent="0.2">
      <c r="W61" s="1">
        <f t="shared" ref="W61:X61" si="36">SUM(W4:W60)</f>
        <v>1022</v>
      </c>
      <c r="X61" s="1">
        <f t="shared" si="36"/>
        <v>330</v>
      </c>
      <c r="Y61" s="3">
        <f>X61/W61</f>
        <v>0.32289628180039137</v>
      </c>
      <c r="Z61" s="1">
        <f t="shared" ref="Z61:AD61" si="37">SUM(Z4:Z60)</f>
        <v>44</v>
      </c>
      <c r="AA61" s="1">
        <f t="shared" si="37"/>
        <v>330</v>
      </c>
      <c r="AB61" s="1">
        <f t="shared" si="37"/>
        <v>108</v>
      </c>
      <c r="AC61" s="1">
        <f t="shared" si="37"/>
        <v>168</v>
      </c>
      <c r="AD61" s="1">
        <f t="shared" si="37"/>
        <v>650</v>
      </c>
      <c r="AE61" s="3">
        <f>AD61/W61</f>
        <v>0.63600782778864973</v>
      </c>
      <c r="AF61" s="1">
        <f>SUM(AF4:AF60)</f>
        <v>51</v>
      </c>
      <c r="AG61" s="1">
        <f>SUM(AG4:AG60)</f>
        <v>14</v>
      </c>
      <c r="AH61" s="1">
        <f>SUM(AH4:AH60)</f>
        <v>19</v>
      </c>
      <c r="AI61" s="3">
        <f>(AF61+AG61+AH61)/W61</f>
        <v>8.2191780821917804E-2</v>
      </c>
      <c r="AJ61" s="1">
        <f>SUM(AJ4:AJ60)</f>
        <v>161</v>
      </c>
      <c r="AK61" s="1">
        <f>SUM(AK4:AK60)</f>
        <v>126</v>
      </c>
      <c r="AL61" s="1">
        <f>SUM(AL4:AL60)</f>
        <v>1</v>
      </c>
      <c r="AM61" s="3">
        <f>(AJ61+AK61+AL61)/W61</f>
        <v>0.28180039138943247</v>
      </c>
    </row>
    <row r="62" spans="2:39" x14ac:dyDescent="0.2">
      <c r="J62" t="str">
        <f ca="1">$W$1&amp;"-"&amp;O62</f>
        <v>Nov 2024-RGN-5</v>
      </c>
      <c r="N62" t="s">
        <v>98</v>
      </c>
      <c r="O62" t="str">
        <f ca="1">T62&amp;"-"&amp;P62</f>
        <v>RGN-5</v>
      </c>
      <c r="P62">
        <f ca="1">COUNTIFS($T$62:$T$66,T62,$Q$62:$Q$66,"&lt;"&amp;Q62)+1</f>
        <v>5</v>
      </c>
      <c r="Q62">
        <f ca="1">S62+(R62/100)</f>
        <v>5.01</v>
      </c>
      <c r="R62">
        <f>COUNTIFS($T$62:$T$66,T62,$V$62:$V$66,"&lt;"&amp;V62)+1</f>
        <v>1</v>
      </c>
      <c r="S62">
        <f ca="1">COUNTIFS($T$62:$T$66,T62,$Y$62:$Y$66,"&gt;"&amp;Y62)+1</f>
        <v>5</v>
      </c>
      <c r="T62" t="s">
        <v>158</v>
      </c>
      <c r="V62" t="s">
        <v>247</v>
      </c>
      <c r="W62" s="1">
        <f ca="1">SUMIF($H$4:W$60,$N62,W$4:W$60)</f>
        <v>206</v>
      </c>
      <c r="X62" s="1">
        <f ca="1">SUMIF($H$4:X$60,$N62,X$4:X$60)</f>
        <v>55</v>
      </c>
      <c r="Y62" s="3">
        <f t="shared" ref="Y62:Y66" ca="1" si="38">X62/W62</f>
        <v>0.26699029126213591</v>
      </c>
      <c r="Z62" s="1">
        <f ca="1">SUMIF($H$4:Z$60,$N62,Z$4:Z$60)</f>
        <v>6</v>
      </c>
      <c r="AA62" s="1">
        <f ca="1">SUMIF($H$4:AA$60,$N62,AA$4:AA$60)</f>
        <v>55</v>
      </c>
      <c r="AB62" s="1">
        <f ca="1">SUMIF($H$4:AB$60,$N62,AB$4:AB$60)</f>
        <v>16</v>
      </c>
      <c r="AC62" s="1">
        <f ca="1">SUMIF($H$4:AC$60,$N62,AC$4:AC$60)</f>
        <v>38</v>
      </c>
      <c r="AD62" s="1">
        <f ca="1">SUMIF($H$4:AD$60,$N62,AD$4:AD$60)</f>
        <v>115</v>
      </c>
      <c r="AE62" s="3">
        <f t="shared" ref="AE62:AE66" ca="1" si="39">AD62/W62</f>
        <v>0.55825242718446599</v>
      </c>
      <c r="AF62" s="1">
        <f ca="1">SUMIF($H$4:AF$60,$N62,AF$4:AF$60)</f>
        <v>6</v>
      </c>
      <c r="AG62" s="1">
        <f ca="1">SUMIF($H$4:AG$60,$N62,AG$4:AG$60)</f>
        <v>5</v>
      </c>
      <c r="AH62" s="1">
        <f ca="1">SUMIF($H$4:AH$60,$N62,AH$4:AH$60)</f>
        <v>8</v>
      </c>
      <c r="AI62" s="3">
        <f t="shared" ref="AI62:AI66" ca="1" si="40">(AF62+AG62+AH62)/W62</f>
        <v>9.2233009708737865E-2</v>
      </c>
      <c r="AJ62" s="1">
        <f ca="1">SUMIF($H$4:AJ$60,$N62,AJ$4:AJ$60)</f>
        <v>34</v>
      </c>
      <c r="AK62" s="1">
        <f ca="1">SUMIF($H$4:AK$60,$N62,AK$4:AK$60)</f>
        <v>37</v>
      </c>
      <c r="AL62" s="1">
        <f ca="1">SUMIF($H$4:AL$60,$N62,AL$4:AL$60)</f>
        <v>1</v>
      </c>
      <c r="AM62" s="3">
        <f t="shared" ref="AM62:AM66" ca="1" si="41">(AJ62+AK62+AL62)/W62</f>
        <v>0.34951456310679613</v>
      </c>
    </row>
    <row r="63" spans="2:39" x14ac:dyDescent="0.2">
      <c r="J63" t="str">
        <f t="shared" ref="J63:J66" ca="1" si="42">$W$1&amp;"-"&amp;O63</f>
        <v>Nov 2024-RGN-4</v>
      </c>
      <c r="N63" t="s">
        <v>102</v>
      </c>
      <c r="O63" t="str">
        <f t="shared" ref="O63:O66" ca="1" si="43">T63&amp;"-"&amp;P63</f>
        <v>RGN-4</v>
      </c>
      <c r="P63">
        <f ca="1">COUNTIFS($T$62:$T$66,T63,$Q$62:$Q$66,"&lt;"&amp;Q63)+1</f>
        <v>4</v>
      </c>
      <c r="Q63">
        <f t="shared" ref="Q63:Q66" ca="1" si="44">S63+(R63/100)</f>
        <v>4.0199999999999996</v>
      </c>
      <c r="R63">
        <f>COUNTIFS($T$62:$T$66,T63,$V$62:$V$66,"&lt;"&amp;V63)+1</f>
        <v>2</v>
      </c>
      <c r="S63">
        <f ca="1">COUNTIFS($T$62:$T$66,T63,$Y$62:$Y$66,"&gt;"&amp;Y63)+1</f>
        <v>4</v>
      </c>
      <c r="T63" t="s">
        <v>158</v>
      </c>
      <c r="V63" t="s">
        <v>268</v>
      </c>
      <c r="W63" s="1">
        <f ca="1">SUMIF($H$4:W$60,$N63,W$4:W$60)</f>
        <v>168</v>
      </c>
      <c r="X63" s="1">
        <f ca="1">SUMIF($H$4:X$60,$N63,X$4:X$60)</f>
        <v>51</v>
      </c>
      <c r="Y63" s="3">
        <f t="shared" ca="1" si="38"/>
        <v>0.30357142857142855</v>
      </c>
      <c r="Z63" s="1">
        <f ca="1">SUMIF($H$4:Z$60,$N63,Z$4:Z$60)</f>
        <v>5</v>
      </c>
      <c r="AA63" s="1">
        <f ca="1">SUMIF($H$4:AA$60,$N63,AA$4:AA$60)</f>
        <v>51</v>
      </c>
      <c r="AB63" s="1">
        <f ca="1">SUMIF($H$4:AB$60,$N63,AB$4:AB$60)</f>
        <v>30</v>
      </c>
      <c r="AC63" s="1">
        <f ca="1">SUMIF($H$4:AC$60,$N63,AC$4:AC$60)</f>
        <v>33</v>
      </c>
      <c r="AD63" s="1">
        <f ca="1">SUMIF($H$4:AD$60,$N63,AD$4:AD$60)</f>
        <v>119</v>
      </c>
      <c r="AE63" s="3">
        <f t="shared" ca="1" si="39"/>
        <v>0.70833333333333337</v>
      </c>
      <c r="AF63" s="1">
        <f ca="1">SUMIF($H$4:AF$60,$N63,AF$4:AF$60)</f>
        <v>16</v>
      </c>
      <c r="AG63" s="1">
        <f ca="1">SUMIF($H$4:AG$60,$N63,AG$4:AG$60)</f>
        <v>0</v>
      </c>
      <c r="AH63" s="1">
        <f ca="1">SUMIF($H$4:AH$60,$N63,AH$4:AH$60)</f>
        <v>0</v>
      </c>
      <c r="AI63" s="3">
        <f t="shared" ca="1" si="40"/>
        <v>9.5238095238095233E-2</v>
      </c>
      <c r="AJ63" s="1">
        <f ca="1">SUMIF($H$4:AJ$60,$N63,AJ$4:AJ$60)</f>
        <v>26</v>
      </c>
      <c r="AK63" s="1">
        <f ca="1">SUMIF($H$4:AK$60,$N63,AK$4:AK$60)</f>
        <v>7</v>
      </c>
      <c r="AL63" s="1">
        <f ca="1">SUMIF($H$4:AL$60,$N63,AL$4:AL$60)</f>
        <v>0</v>
      </c>
      <c r="AM63" s="3">
        <f t="shared" ca="1" si="41"/>
        <v>0.19642857142857142</v>
      </c>
    </row>
    <row r="64" spans="2:39" x14ac:dyDescent="0.2">
      <c r="J64" t="str">
        <f t="shared" ca="1" si="42"/>
        <v>Nov 2024-RGN-3</v>
      </c>
      <c r="N64" t="s">
        <v>100</v>
      </c>
      <c r="O64" t="str">
        <f t="shared" ca="1" si="43"/>
        <v>RGN-3</v>
      </c>
      <c r="P64">
        <f ca="1">COUNTIFS($T$62:$T$66,T64,$Q$62:$Q$66,"&lt;"&amp;Q64)+1</f>
        <v>3</v>
      </c>
      <c r="Q64">
        <f t="shared" ca="1" si="44"/>
        <v>3.03</v>
      </c>
      <c r="R64">
        <f>COUNTIFS($T$62:$T$66,T64,$V$62:$V$66,"&lt;"&amp;V64)+1</f>
        <v>3</v>
      </c>
      <c r="S64">
        <f ca="1">COUNTIFS($T$62:$T$66,T64,$Y$62:$Y$66,"&gt;"&amp;Y64)+1</f>
        <v>3</v>
      </c>
      <c r="T64" t="s">
        <v>158</v>
      </c>
      <c r="V64" t="s">
        <v>251</v>
      </c>
      <c r="W64" s="1">
        <f ca="1">SUMIF($H$4:W$60,$N64,W$4:W$60)</f>
        <v>267</v>
      </c>
      <c r="X64" s="1">
        <f ca="1">SUMIF($H$4:X$60,$N64,X$4:X$60)</f>
        <v>87</v>
      </c>
      <c r="Y64" s="3">
        <f t="shared" ca="1" si="38"/>
        <v>0.3258426966292135</v>
      </c>
      <c r="Z64" s="1">
        <f ca="1">SUMIF($H$4:Z$60,$N64,Z$4:Z$60)</f>
        <v>15</v>
      </c>
      <c r="AA64" s="1">
        <f ca="1">SUMIF($H$4:AA$60,$N64,AA$4:AA$60)</f>
        <v>87</v>
      </c>
      <c r="AB64" s="1">
        <f ca="1">SUMIF($H$4:AB$60,$N64,AB$4:AB$60)</f>
        <v>29</v>
      </c>
      <c r="AC64" s="1">
        <f ca="1">SUMIF($H$4:AC$60,$N64,AC$4:AC$60)</f>
        <v>32</v>
      </c>
      <c r="AD64" s="1">
        <f ca="1">SUMIF($H$4:AD$60,$N64,AD$4:AD$60)</f>
        <v>163</v>
      </c>
      <c r="AE64" s="3">
        <f t="shared" ca="1" si="39"/>
        <v>0.61048689138576784</v>
      </c>
      <c r="AF64" s="1">
        <f ca="1">SUMIF($H$4:AF$60,$N64,AF$4:AF$60)</f>
        <v>0</v>
      </c>
      <c r="AG64" s="1">
        <f ca="1">SUMIF($H$4:AG$60,$N64,AG$4:AG$60)</f>
        <v>3</v>
      </c>
      <c r="AH64" s="1">
        <f ca="1">SUMIF($H$4:AH$60,$N64,AH$4:AH$60)</f>
        <v>0</v>
      </c>
      <c r="AI64" s="3">
        <f t="shared" ca="1" si="40"/>
        <v>1.1235955056179775E-2</v>
      </c>
      <c r="AJ64" s="1">
        <f ca="1">SUMIF($H$4:AJ$60,$N64,AJ$4:AJ$60)</f>
        <v>70</v>
      </c>
      <c r="AK64" s="1">
        <f ca="1">SUMIF($H$4:AK$60,$N64,AK$4:AK$60)</f>
        <v>31</v>
      </c>
      <c r="AL64" s="1">
        <f ca="1">SUMIF($H$4:AL$60,$N64,AL$4:AL$60)</f>
        <v>0</v>
      </c>
      <c r="AM64" s="3">
        <f t="shared" ca="1" si="41"/>
        <v>0.37827715355805241</v>
      </c>
    </row>
    <row r="65" spans="1:39" x14ac:dyDescent="0.2">
      <c r="J65" t="str">
        <f t="shared" ca="1" si="42"/>
        <v>Nov 2024-RGN-2</v>
      </c>
      <c r="N65" t="s">
        <v>99</v>
      </c>
      <c r="O65" t="str">
        <f t="shared" ca="1" si="43"/>
        <v>RGN-2</v>
      </c>
      <c r="P65">
        <f ca="1">COUNTIFS($T$62:$T$66,T65,$Q$62:$Q$66,"&lt;"&amp;Q65)+1</f>
        <v>2</v>
      </c>
      <c r="Q65">
        <f t="shared" ca="1" si="44"/>
        <v>2.04</v>
      </c>
      <c r="R65">
        <f>COUNTIFS($T$62:$T$66,T65,$V$62:$V$66,"&lt;"&amp;V65)+1</f>
        <v>4</v>
      </c>
      <c r="S65">
        <f ca="1">COUNTIFS($T$62:$T$66,T65,$Y$62:$Y$66,"&gt;"&amp;Y65)+1</f>
        <v>2</v>
      </c>
      <c r="T65" t="s">
        <v>158</v>
      </c>
      <c r="V65" t="s">
        <v>269</v>
      </c>
      <c r="W65" s="1">
        <f ca="1">SUMIF($H$4:W$60,$N65,W$4:W$60)</f>
        <v>231</v>
      </c>
      <c r="X65" s="1">
        <f ca="1">SUMIF($H$4:X$60,$N65,X$4:X$60)</f>
        <v>79</v>
      </c>
      <c r="Y65" s="3">
        <f t="shared" ca="1" si="38"/>
        <v>0.34199134199134201</v>
      </c>
      <c r="Z65" s="1">
        <f ca="1">SUMIF($H$4:Z$60,$N65,Z$4:Z$60)</f>
        <v>14</v>
      </c>
      <c r="AA65" s="1">
        <f ca="1">SUMIF($H$4:AA$60,$N65,AA$4:AA$60)</f>
        <v>79</v>
      </c>
      <c r="AB65" s="1">
        <f ca="1">SUMIF($H$4:AB$60,$N65,AB$4:AB$60)</f>
        <v>21</v>
      </c>
      <c r="AC65" s="1">
        <f ca="1">SUMIF($H$4:AC$60,$N65,AC$4:AC$60)</f>
        <v>31</v>
      </c>
      <c r="AD65" s="1">
        <f ca="1">SUMIF($H$4:AD$60,$N65,AD$4:AD$60)</f>
        <v>145</v>
      </c>
      <c r="AE65" s="3">
        <f t="shared" ca="1" si="39"/>
        <v>0.62770562770562766</v>
      </c>
      <c r="AF65" s="1">
        <f ca="1">SUMIF($H$4:AF$60,$N65,AF$4:AF$60)</f>
        <v>26</v>
      </c>
      <c r="AG65" s="1">
        <f ca="1">SUMIF($H$4:AG$60,$N65,AG$4:AG$60)</f>
        <v>5</v>
      </c>
      <c r="AH65" s="1">
        <f ca="1">SUMIF($H$4:AH$60,$N65,AH$4:AH$60)</f>
        <v>11</v>
      </c>
      <c r="AI65" s="3">
        <f t="shared" ca="1" si="40"/>
        <v>0.18181818181818182</v>
      </c>
      <c r="AJ65" s="1">
        <f ca="1">SUMIF($H$4:AJ$60,$N65,AJ$4:AJ$60)</f>
        <v>23</v>
      </c>
      <c r="AK65" s="1">
        <f ca="1">SUMIF($H$4:AK$60,$N65,AK$4:AK$60)</f>
        <v>21</v>
      </c>
      <c r="AL65" s="1">
        <f ca="1">SUMIF($H$4:AL$60,$N65,AL$4:AL$60)</f>
        <v>0</v>
      </c>
      <c r="AM65" s="3">
        <f t="shared" ca="1" si="41"/>
        <v>0.19047619047619047</v>
      </c>
    </row>
    <row r="66" spans="1:39" x14ac:dyDescent="0.2">
      <c r="J66" t="str">
        <f t="shared" ca="1" si="42"/>
        <v>Nov 2024-RGN-1</v>
      </c>
      <c r="N66" t="s">
        <v>101</v>
      </c>
      <c r="O66" t="str">
        <f t="shared" ca="1" si="43"/>
        <v>RGN-1</v>
      </c>
      <c r="P66">
        <f ca="1">COUNTIFS($T$62:$T$66,T66,$Q$62:$Q$66,"&lt;"&amp;Q66)+1</f>
        <v>1</v>
      </c>
      <c r="Q66">
        <f t="shared" ca="1" si="44"/>
        <v>1.05</v>
      </c>
      <c r="R66">
        <f>COUNTIFS($T$62:$T$66,T66,$V$62:$V$66,"&lt;"&amp;V66)+1</f>
        <v>5</v>
      </c>
      <c r="S66">
        <f ca="1">COUNTIFS($T$62:$T$66,T66,$Y$62:$Y$66,"&gt;"&amp;Y66)+1</f>
        <v>1</v>
      </c>
      <c r="T66" t="s">
        <v>158</v>
      </c>
      <c r="V66" t="s">
        <v>252</v>
      </c>
      <c r="W66" s="1">
        <f ca="1">SUMIF($H$4:W$60,$N66,W$4:W$60)</f>
        <v>150</v>
      </c>
      <c r="X66" s="1">
        <f ca="1">SUMIF($H$4:X$60,$N66,X$4:X$60)</f>
        <v>58</v>
      </c>
      <c r="Y66" s="3">
        <f t="shared" ca="1" si="38"/>
        <v>0.38666666666666666</v>
      </c>
      <c r="Z66" s="1">
        <f ca="1">SUMIF($H$4:Z$60,$N66,Z$4:Z$60)</f>
        <v>4</v>
      </c>
      <c r="AA66" s="1">
        <f ca="1">SUMIF($H$4:AA$60,$N66,AA$4:AA$60)</f>
        <v>58</v>
      </c>
      <c r="AB66" s="1">
        <f ca="1">SUMIF($H$4:AB$60,$N66,AB$4:AB$60)</f>
        <v>12</v>
      </c>
      <c r="AC66" s="1">
        <f ca="1">SUMIF($H$4:AC$60,$N66,AC$4:AC$60)</f>
        <v>34</v>
      </c>
      <c r="AD66" s="1">
        <f ca="1">SUMIF($H$4:AD$60,$N66,AD$4:AD$60)</f>
        <v>108</v>
      </c>
      <c r="AE66" s="3">
        <f t="shared" ca="1" si="39"/>
        <v>0.72</v>
      </c>
      <c r="AF66" s="1">
        <f ca="1">SUMIF($H$4:AF$60,$N66,AF$4:AF$60)</f>
        <v>3</v>
      </c>
      <c r="AG66" s="1">
        <f ca="1">SUMIF($H$4:AG$60,$N66,AG$4:AG$60)</f>
        <v>1</v>
      </c>
      <c r="AH66" s="1">
        <f ca="1">SUMIF($H$4:AH$60,$N66,AH$4:AH$60)</f>
        <v>0</v>
      </c>
      <c r="AI66" s="3">
        <f t="shared" ca="1" si="40"/>
        <v>2.6666666666666668E-2</v>
      </c>
      <c r="AJ66" s="1">
        <f ca="1">SUMIF($H$4:AJ$60,$N66,AJ$4:AJ$60)</f>
        <v>8</v>
      </c>
      <c r="AK66" s="1">
        <f ca="1">SUMIF($H$4:AK$60,$N66,AK$4:AK$60)</f>
        <v>30</v>
      </c>
      <c r="AL66" s="1">
        <f ca="1">SUMIF($H$4:AL$60,$N66,AL$4:AL$60)</f>
        <v>0</v>
      </c>
      <c r="AM66" s="3">
        <f t="shared" ca="1" si="41"/>
        <v>0.25333333333333335</v>
      </c>
    </row>
    <row r="68" spans="1:39" ht="16" customHeight="1" x14ac:dyDescent="0.2">
      <c r="A68" s="2"/>
      <c r="B68" s="2"/>
      <c r="C68" s="86" t="str">
        <f>X1</f>
        <v>Dec 2024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</row>
    <row r="69" spans="1:39" x14ac:dyDescent="0.2">
      <c r="A69" s="2"/>
      <c r="B69" s="2" t="s">
        <v>105</v>
      </c>
      <c r="C69" s="2"/>
      <c r="D69" s="2"/>
      <c r="E69" s="2"/>
      <c r="F69" s="2"/>
      <c r="G69" s="2"/>
      <c r="H69" s="2"/>
      <c r="I69" s="2" t="s">
        <v>103</v>
      </c>
      <c r="J69" s="2"/>
      <c r="K69" s="2"/>
      <c r="L69" s="2"/>
      <c r="M69" s="2"/>
      <c r="N69" s="2"/>
      <c r="O69" s="2" t="s">
        <v>104</v>
      </c>
      <c r="P69" s="2"/>
      <c r="Q69" s="2"/>
      <c r="R69" s="2"/>
      <c r="S69" s="2"/>
      <c r="T69" s="2"/>
      <c r="U69" s="2"/>
      <c r="V69" s="2" t="s">
        <v>0</v>
      </c>
      <c r="W69" s="2" t="s">
        <v>2</v>
      </c>
      <c r="X69" s="2" t="s">
        <v>75</v>
      </c>
      <c r="Y69" s="2" t="s">
        <v>218</v>
      </c>
      <c r="Z69" s="2" t="s">
        <v>74</v>
      </c>
      <c r="AA69" s="2" t="s">
        <v>75</v>
      </c>
      <c r="AB69" s="2" t="s">
        <v>76</v>
      </c>
      <c r="AC69" s="2" t="s">
        <v>77</v>
      </c>
      <c r="AD69" s="2" t="s">
        <v>3</v>
      </c>
      <c r="AE69" s="2" t="s">
        <v>1</v>
      </c>
      <c r="AF69" s="2" t="s">
        <v>4</v>
      </c>
      <c r="AG69" s="2" t="s">
        <v>5</v>
      </c>
      <c r="AH69" s="2" t="s">
        <v>6</v>
      </c>
      <c r="AI69" s="2" t="s">
        <v>7</v>
      </c>
      <c r="AJ69" s="2" t="s">
        <v>78</v>
      </c>
      <c r="AK69" s="2" t="s">
        <v>79</v>
      </c>
      <c r="AL69" s="2" t="s">
        <v>80</v>
      </c>
      <c r="AM69" s="2" t="s">
        <v>8</v>
      </c>
    </row>
    <row r="70" spans="1:39" x14ac:dyDescent="0.2">
      <c r="B70" t="str">
        <f>IF(V70="","",H70&amp;"-"&amp;D70)</f>
        <v>AZ-7</v>
      </c>
      <c r="C70" t="str">
        <f>IF(V70="","",$W$1&amp;"-"&amp;B70)</f>
        <v>Nov 2024-AZ-7</v>
      </c>
      <c r="D70">
        <f>IF(V70="","",COUNTIFS($H$70:$H$126,H70,$E$70:$E$126,"&lt;"&amp;E70)+1)</f>
        <v>7</v>
      </c>
      <c r="E70">
        <f>IF(V70="","",G70+(F70/100))</f>
        <v>4.01</v>
      </c>
      <c r="F70">
        <f>IF(V70="","",COUNTIFS($H$70:$H$126,H70,$V$70:$V$126,"&lt;"&amp;V70)+1)</f>
        <v>1</v>
      </c>
      <c r="G70">
        <f>IF(V70="","",COUNTIFS($H$70:$H$126,H70,$Y$70:$Y$126,"&gt;"&amp;Y70)+1)</f>
        <v>4</v>
      </c>
      <c r="H70" t="str">
        <f>IF(V70="","",IFERROR(VLOOKUP(TRIM($V70),KEY!$B$2:$E$58,3,FALSE),""))</f>
        <v>AZ</v>
      </c>
      <c r="I70" t="str">
        <f>IF(V70="","","WEST-"&amp;K70)</f>
        <v>WEST-14</v>
      </c>
      <c r="J70" t="str">
        <f t="shared" ref="J70:J101" si="45">IF(V70="","",$X$1&amp;"-"&amp;I70)</f>
        <v>Dec 2024-WEST-14</v>
      </c>
      <c r="K70">
        <f>IFERROR(IF(V70="","",RANK(L70,$L$70:$L$126,1)),"-")</f>
        <v>14</v>
      </c>
      <c r="L70">
        <f>IFERROR(IF(V70="","",N70+(M70/100)),"-")</f>
        <v>14.01</v>
      </c>
      <c r="M70">
        <f>IF(V70="","",IFERROR(VLOOKUP(TRIM($V70),KEY!$B$2:$E$58,4,FALSE),""))</f>
        <v>1</v>
      </c>
      <c r="N70">
        <f>IFERROR(IF(V70="","",RANK(Y70,$Y$70:$Y$126)),"-")</f>
        <v>14</v>
      </c>
      <c r="O70" t="str">
        <f>IF(V70="","",T70&amp;"-"&amp;P70)</f>
        <v>AC-2</v>
      </c>
      <c r="P70">
        <f>IF(V70="","",COUNTIFS($T$70:$T$126,T70,$Q$70:$Q$126,"&lt;"&amp;Q70)+1)</f>
        <v>2</v>
      </c>
      <c r="Q70">
        <f>IF(V70="","",S70+(R70/100))</f>
        <v>2.0099999999999998</v>
      </c>
      <c r="R70">
        <f>IF(V70="","",COUNTIFS($T$70:$T$126,T70,$V$70:$V$126,"&lt;"&amp;V70)+1)</f>
        <v>1</v>
      </c>
      <c r="S70">
        <f>IF(V70="","",COUNTIFS($T$70:$T$126,T70,$Y$70:$Y$126,"&gt;"&amp;Y70)+1)</f>
        <v>2</v>
      </c>
      <c r="T70" t="str">
        <f>IF(V70="","",IFERROR(VLOOKUP(TRIM($V70),KEY!$B$2:$E$58,2,FALSE),""))</f>
        <v>AC</v>
      </c>
      <c r="V70" s="64" t="s">
        <v>9</v>
      </c>
      <c r="W70" s="64">
        <v>12</v>
      </c>
      <c r="X70" s="64">
        <v>3</v>
      </c>
      <c r="Y70" s="64">
        <v>0.25</v>
      </c>
      <c r="Z70" s="64">
        <v>0</v>
      </c>
      <c r="AA70" s="64">
        <v>3</v>
      </c>
      <c r="AB70" s="64">
        <v>0</v>
      </c>
      <c r="AC70" s="64">
        <v>0</v>
      </c>
      <c r="AD70" s="64">
        <v>3</v>
      </c>
      <c r="AE70" s="64">
        <v>0.25</v>
      </c>
      <c r="AF70" s="64">
        <v>7</v>
      </c>
      <c r="AG70" s="64">
        <v>0</v>
      </c>
      <c r="AH70" s="64">
        <v>0</v>
      </c>
      <c r="AI70" s="64">
        <v>0.58333333333333337</v>
      </c>
      <c r="AJ70" s="64">
        <v>1</v>
      </c>
      <c r="AK70" s="64">
        <v>1</v>
      </c>
      <c r="AL70" s="64">
        <v>0</v>
      </c>
      <c r="AM70" s="64">
        <v>0.16666666666666666</v>
      </c>
    </row>
    <row r="71" spans="1:39" x14ac:dyDescent="0.2">
      <c r="B71" t="str">
        <f t="shared" ref="B71:B125" si="46">IF(V71="","",H71&amp;"-"&amp;D71)</f>
        <v>SoCal-9</v>
      </c>
      <c r="C71" t="str">
        <f t="shared" ref="C71:C125" si="47">IF(V71="","",$W$1&amp;"-"&amp;B71)</f>
        <v>Nov 2024-SoCal-9</v>
      </c>
      <c r="D71">
        <f t="shared" ref="D71:D125" si="48">IF(V71="","",COUNTIFS($H$70:$H$126,H71,$E$70:$E$126,"&lt;"&amp;E71)+1)</f>
        <v>9</v>
      </c>
      <c r="E71">
        <f t="shared" ref="E71:E125" si="49">IF(V71="","",G71+(F71/100))</f>
        <v>9.01</v>
      </c>
      <c r="F71">
        <f t="shared" ref="F71:F125" si="50">IF(V71="","",COUNTIFS($H$70:$H$126,H71,$V$70:$V$126,"&lt;"&amp;V71)+1)</f>
        <v>1</v>
      </c>
      <c r="G71">
        <f t="shared" ref="G71:G125" si="51">IF(V71="","",COUNTIFS($H$70:$H$126,H71,$Y$70:$Y$126,"&gt;"&amp;Y71)+1)</f>
        <v>9</v>
      </c>
      <c r="H71" t="str">
        <f>IF(V71="","",IFERROR(VLOOKUP(TRIM($V71),KEY!$B$2:$E$58,3,FALSE),""))</f>
        <v>SoCal</v>
      </c>
      <c r="I71" t="str">
        <f t="shared" ref="I71:I125" si="52">IF(V71="","","WEST-"&amp;K71)</f>
        <v>WEST-32</v>
      </c>
      <c r="J71" t="str">
        <f t="shared" si="45"/>
        <v>Dec 2024-WEST-32</v>
      </c>
      <c r="K71">
        <f t="shared" ref="K71:K125" si="53">IFERROR(IF(V71="","",RANK(L71,$L$70:$L$126,1)),"-")</f>
        <v>32</v>
      </c>
      <c r="L71">
        <f t="shared" ref="L71:L125" si="54">IFERROR(IF(V71="","",N71+(M71/100)),"-")</f>
        <v>32.020000000000003</v>
      </c>
      <c r="M71">
        <f>IF(V71="","",IFERROR(VLOOKUP(TRIM($V71),KEY!$B$2:$E$58,4,FALSE),""))</f>
        <v>2</v>
      </c>
      <c r="N71">
        <f t="shared" ref="N71:N125" si="55">IFERROR(IF(V71="","",RANK(Y71,$Y$70:$Y$126)),"-")</f>
        <v>32</v>
      </c>
      <c r="O71" t="str">
        <f t="shared" ref="O71:O125" si="56">IF(V71="","",T71&amp;"-"&amp;P71)</f>
        <v>AC-3</v>
      </c>
      <c r="P71">
        <f t="shared" ref="P71:P125" si="57">IF(V71="","",COUNTIFS($T$70:$T$126,T71,$Q$70:$Q$126,"&lt;"&amp;Q71)+1)</f>
        <v>3</v>
      </c>
      <c r="Q71">
        <f t="shared" ref="Q71:Q125" si="58">IF(V71="","",S71+(R71/100))</f>
        <v>3.02</v>
      </c>
      <c r="R71">
        <f t="shared" ref="R71:R125" si="59">IF(V71="","",COUNTIFS($T$70:$T$126,T71,$V$70:$V$126,"&lt;"&amp;V71)+1)</f>
        <v>2</v>
      </c>
      <c r="S71">
        <f t="shared" ref="S71:S125" si="60">IF(V71="","",COUNTIFS($T$70:$T$126,T71,$Y$70:$Y$126,"&gt;"&amp;Y71)+1)</f>
        <v>3</v>
      </c>
      <c r="T71" t="str">
        <f>IF(V71="","",IFERROR(VLOOKUP(TRIM($V71),KEY!$B$2:$E$58,2,FALSE),""))</f>
        <v>AC</v>
      </c>
      <c r="V71" s="64" t="s">
        <v>10</v>
      </c>
      <c r="W71" s="64">
        <v>3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  <c r="AC71" s="64">
        <v>0</v>
      </c>
      <c r="AD71" s="64">
        <v>0</v>
      </c>
      <c r="AE71" s="64">
        <v>0</v>
      </c>
      <c r="AF71" s="64">
        <v>0</v>
      </c>
      <c r="AG71" s="64">
        <v>0</v>
      </c>
      <c r="AH71" s="64">
        <v>3</v>
      </c>
      <c r="AI71" s="64">
        <v>1</v>
      </c>
      <c r="AJ71" s="64">
        <v>0</v>
      </c>
      <c r="AK71" s="64">
        <v>0</v>
      </c>
      <c r="AL71" s="64">
        <v>0</v>
      </c>
      <c r="AM71" s="64">
        <v>0</v>
      </c>
    </row>
    <row r="72" spans="1:39" x14ac:dyDescent="0.2">
      <c r="B72" t="str">
        <f t="shared" si="46"/>
        <v>AZ-1</v>
      </c>
      <c r="C72" t="str">
        <f t="shared" si="47"/>
        <v>Nov 2024-AZ-1</v>
      </c>
      <c r="D72">
        <f t="shared" si="48"/>
        <v>1</v>
      </c>
      <c r="E72">
        <f t="shared" si="49"/>
        <v>1.02</v>
      </c>
      <c r="F72">
        <f t="shared" si="50"/>
        <v>2</v>
      </c>
      <c r="G72">
        <f t="shared" si="51"/>
        <v>1</v>
      </c>
      <c r="H72" t="str">
        <f>IF(V72="","",IFERROR(VLOOKUP(TRIM($V72),KEY!$B$2:$E$58,3,FALSE),""))</f>
        <v>AZ</v>
      </c>
      <c r="I72" t="str">
        <f t="shared" si="52"/>
        <v>WEST-6</v>
      </c>
      <c r="J72" t="str">
        <f t="shared" si="45"/>
        <v>Dec 2024-WEST-6</v>
      </c>
      <c r="K72">
        <f t="shared" si="53"/>
        <v>6</v>
      </c>
      <c r="L72">
        <f t="shared" si="54"/>
        <v>6.03</v>
      </c>
      <c r="M72">
        <f>IF(V72="","",IFERROR(VLOOKUP(TRIM($V72),KEY!$B$2:$E$58,4,FALSE),""))</f>
        <v>3</v>
      </c>
      <c r="N72">
        <f t="shared" si="55"/>
        <v>6</v>
      </c>
      <c r="O72" t="str">
        <f t="shared" si="56"/>
        <v>AU-1</v>
      </c>
      <c r="P72">
        <f t="shared" si="57"/>
        <v>1</v>
      </c>
      <c r="Q72">
        <f t="shared" si="58"/>
        <v>1.01</v>
      </c>
      <c r="R72">
        <f t="shared" si="59"/>
        <v>1</v>
      </c>
      <c r="S72">
        <f t="shared" si="60"/>
        <v>1</v>
      </c>
      <c r="T72" t="str">
        <f>IF(V72="","",IFERROR(VLOOKUP(TRIM($V72),KEY!$B$2:$E$58,2,FALSE),""))</f>
        <v>AU</v>
      </c>
      <c r="V72" s="64" t="s">
        <v>11</v>
      </c>
      <c r="W72" s="64">
        <v>9</v>
      </c>
      <c r="X72" s="64">
        <v>3</v>
      </c>
      <c r="Y72" s="64">
        <v>0.33333333333333331</v>
      </c>
      <c r="Z72" s="64">
        <v>0</v>
      </c>
      <c r="AA72" s="64">
        <v>3</v>
      </c>
      <c r="AB72" s="64">
        <v>0</v>
      </c>
      <c r="AC72" s="64">
        <v>0</v>
      </c>
      <c r="AD72" s="64">
        <v>3</v>
      </c>
      <c r="AE72" s="64">
        <v>0.33333333333333331</v>
      </c>
      <c r="AF72" s="64">
        <v>5</v>
      </c>
      <c r="AG72" s="64">
        <v>0</v>
      </c>
      <c r="AH72" s="64">
        <v>0</v>
      </c>
      <c r="AI72" s="64">
        <v>0.55555555555555558</v>
      </c>
      <c r="AJ72" s="64">
        <v>0</v>
      </c>
      <c r="AK72" s="64">
        <v>1</v>
      </c>
      <c r="AL72" s="64">
        <v>0</v>
      </c>
      <c r="AM72" s="64">
        <v>0.1111111111111111</v>
      </c>
    </row>
    <row r="73" spans="1:39" x14ac:dyDescent="0.2">
      <c r="B73" t="str">
        <f t="shared" si="46"/>
        <v>SoCal-10</v>
      </c>
      <c r="C73" t="str">
        <f t="shared" si="47"/>
        <v>Nov 2024-SoCal-10</v>
      </c>
      <c r="D73">
        <f t="shared" si="48"/>
        <v>10</v>
      </c>
      <c r="E73">
        <f t="shared" si="49"/>
        <v>9.02</v>
      </c>
      <c r="F73">
        <f t="shared" si="50"/>
        <v>2</v>
      </c>
      <c r="G73">
        <f t="shared" si="51"/>
        <v>9</v>
      </c>
      <c r="H73" t="str">
        <f>IF(V73="","",IFERROR(VLOOKUP(TRIM($V73),KEY!$B$2:$E$58,3,FALSE),""))</f>
        <v>SoCal</v>
      </c>
      <c r="I73" t="str">
        <f t="shared" si="52"/>
        <v>WEST-33</v>
      </c>
      <c r="J73" t="str">
        <f t="shared" si="45"/>
        <v>Dec 2024-WEST-33</v>
      </c>
      <c r="K73">
        <f t="shared" si="53"/>
        <v>33</v>
      </c>
      <c r="L73">
        <f t="shared" si="54"/>
        <v>32.04</v>
      </c>
      <c r="M73">
        <f>IF(V73="","",IFERROR(VLOOKUP(TRIM($V73),KEY!$B$2:$E$58,4,FALSE),""))</f>
        <v>4</v>
      </c>
      <c r="N73">
        <f t="shared" si="55"/>
        <v>32</v>
      </c>
      <c r="O73" t="str">
        <f t="shared" si="56"/>
        <v>AU-5</v>
      </c>
      <c r="P73">
        <f t="shared" si="57"/>
        <v>5</v>
      </c>
      <c r="Q73">
        <f t="shared" si="58"/>
        <v>4.0199999999999996</v>
      </c>
      <c r="R73">
        <f t="shared" si="59"/>
        <v>2</v>
      </c>
      <c r="S73">
        <f t="shared" si="60"/>
        <v>4</v>
      </c>
      <c r="T73" t="str">
        <f>IF(V73="","",IFERROR(VLOOKUP(TRIM($V73),KEY!$B$2:$E$58,2,FALSE),""))</f>
        <v>AU</v>
      </c>
      <c r="V73" s="64" t="s">
        <v>12</v>
      </c>
      <c r="W73" s="64">
        <v>7</v>
      </c>
      <c r="X73" s="64">
        <v>0</v>
      </c>
      <c r="Y73" s="64">
        <v>0</v>
      </c>
      <c r="Z73" s="64">
        <v>0</v>
      </c>
      <c r="AA73" s="64">
        <v>0</v>
      </c>
      <c r="AB73" s="64">
        <v>1</v>
      </c>
      <c r="AC73" s="64">
        <v>0</v>
      </c>
      <c r="AD73" s="64">
        <v>1</v>
      </c>
      <c r="AE73" s="64">
        <v>0.14285714285714285</v>
      </c>
      <c r="AF73" s="64">
        <v>3</v>
      </c>
      <c r="AG73" s="64">
        <v>0</v>
      </c>
      <c r="AH73" s="64">
        <v>3</v>
      </c>
      <c r="AI73" s="64">
        <v>0.8571428571428571</v>
      </c>
      <c r="AJ73" s="64">
        <v>0</v>
      </c>
      <c r="AK73" s="64">
        <v>0</v>
      </c>
      <c r="AL73" s="64">
        <v>0</v>
      </c>
      <c r="AM73" s="64">
        <v>0</v>
      </c>
    </row>
    <row r="74" spans="1:39" x14ac:dyDescent="0.2">
      <c r="B74" t="str">
        <f t="shared" si="46"/>
        <v>OC-1</v>
      </c>
      <c r="C74" t="str">
        <f t="shared" si="47"/>
        <v>Nov 2024-OC-1</v>
      </c>
      <c r="D74">
        <f t="shared" si="48"/>
        <v>1</v>
      </c>
      <c r="E74">
        <f t="shared" si="49"/>
        <v>1.01</v>
      </c>
      <c r="F74">
        <f t="shared" si="50"/>
        <v>1</v>
      </c>
      <c r="G74">
        <f t="shared" si="51"/>
        <v>1</v>
      </c>
      <c r="H74" t="str">
        <f>IF(V74="","",IFERROR(VLOOKUP(TRIM($V74),KEY!$B$2:$E$58,3,FALSE),""))</f>
        <v>OC</v>
      </c>
      <c r="I74" t="str">
        <f t="shared" si="52"/>
        <v>WEST--</v>
      </c>
      <c r="J74" t="str">
        <f t="shared" si="45"/>
        <v>Dec 2024-WEST--</v>
      </c>
      <c r="K74" t="str">
        <f t="shared" si="53"/>
        <v>-</v>
      </c>
      <c r="L74" t="str">
        <f t="shared" si="54"/>
        <v>-</v>
      </c>
      <c r="M74">
        <f>IF(V74="","",IFERROR(VLOOKUP(TRIM($V74),KEY!$B$2:$E$58,4,FALSE),""))</f>
        <v>5</v>
      </c>
      <c r="N74" t="str">
        <f t="shared" si="55"/>
        <v>-</v>
      </c>
      <c r="O74" t="str">
        <f t="shared" si="56"/>
        <v>AU-2</v>
      </c>
      <c r="P74">
        <f t="shared" si="57"/>
        <v>2</v>
      </c>
      <c r="Q74">
        <f t="shared" si="58"/>
        <v>1.03</v>
      </c>
      <c r="R74">
        <f t="shared" si="59"/>
        <v>3</v>
      </c>
      <c r="S74">
        <f t="shared" si="60"/>
        <v>1</v>
      </c>
      <c r="T74" t="str">
        <f>IF(V74="","",IFERROR(VLOOKUP(TRIM($V74),KEY!$B$2:$E$58,2,FALSE),""))</f>
        <v>AU</v>
      </c>
      <c r="V74" s="64" t="s">
        <v>240</v>
      </c>
      <c r="W74" s="64">
        <v>0</v>
      </c>
      <c r="X74" s="64">
        <v>0</v>
      </c>
      <c r="Y74" s="64" t="s">
        <v>274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 t="s">
        <v>274</v>
      </c>
      <c r="AF74" s="64">
        <v>0</v>
      </c>
      <c r="AG74" s="64">
        <v>0</v>
      </c>
      <c r="AH74" s="64">
        <v>0</v>
      </c>
      <c r="AI74" s="64" t="s">
        <v>274</v>
      </c>
      <c r="AJ74" s="64">
        <v>0</v>
      </c>
      <c r="AK74" s="64">
        <v>0</v>
      </c>
      <c r="AL74" s="64">
        <v>0</v>
      </c>
      <c r="AM74" s="64" t="s">
        <v>274</v>
      </c>
    </row>
    <row r="75" spans="1:39" x14ac:dyDescent="0.2">
      <c r="B75" t="str">
        <f t="shared" si="46"/>
        <v>AZ-11</v>
      </c>
      <c r="C75" t="str">
        <f t="shared" si="47"/>
        <v>Nov 2024-AZ-11</v>
      </c>
      <c r="D75">
        <f t="shared" si="48"/>
        <v>11</v>
      </c>
      <c r="E75">
        <f t="shared" si="49"/>
        <v>8.0299999999999994</v>
      </c>
      <c r="F75">
        <f t="shared" si="50"/>
        <v>3</v>
      </c>
      <c r="G75">
        <f t="shared" si="51"/>
        <v>8</v>
      </c>
      <c r="H75" t="str">
        <f>IF(V75="","",IFERROR(VLOOKUP(TRIM($V75),KEY!$B$2:$E$58,3,FALSE),""))</f>
        <v>AZ</v>
      </c>
      <c r="I75" t="str">
        <f t="shared" si="52"/>
        <v>WEST-34</v>
      </c>
      <c r="J75" t="str">
        <f t="shared" si="45"/>
        <v>Dec 2024-WEST-34</v>
      </c>
      <c r="K75">
        <f t="shared" si="53"/>
        <v>34</v>
      </c>
      <c r="L75">
        <f t="shared" si="54"/>
        <v>32.06</v>
      </c>
      <c r="M75">
        <f>IF(V75="","",IFERROR(VLOOKUP(TRIM($V75),KEY!$B$2:$E$58,4,FALSE),""))</f>
        <v>6</v>
      </c>
      <c r="N75">
        <f t="shared" si="55"/>
        <v>32</v>
      </c>
      <c r="O75" t="str">
        <f t="shared" si="56"/>
        <v>AU-6</v>
      </c>
      <c r="P75">
        <f t="shared" si="57"/>
        <v>6</v>
      </c>
      <c r="Q75">
        <f t="shared" si="58"/>
        <v>4.04</v>
      </c>
      <c r="R75">
        <f t="shared" si="59"/>
        <v>4</v>
      </c>
      <c r="S75">
        <f t="shared" si="60"/>
        <v>4</v>
      </c>
      <c r="T75" t="str">
        <f>IF(V75="","",IFERROR(VLOOKUP(TRIM($V75),KEY!$B$2:$E$58,2,FALSE),""))</f>
        <v>AU</v>
      </c>
      <c r="V75" s="64" t="s">
        <v>13</v>
      </c>
      <c r="W75" s="64">
        <v>19</v>
      </c>
      <c r="X75" s="64">
        <v>0</v>
      </c>
      <c r="Y75" s="64">
        <v>0</v>
      </c>
      <c r="Z75" s="64">
        <v>0</v>
      </c>
      <c r="AA75" s="64">
        <v>0</v>
      </c>
      <c r="AB75" s="64">
        <v>0</v>
      </c>
      <c r="AC75" s="64">
        <v>6</v>
      </c>
      <c r="AD75" s="64">
        <v>6</v>
      </c>
      <c r="AE75" s="64">
        <v>0.31578947368421051</v>
      </c>
      <c r="AF75" s="64">
        <v>0</v>
      </c>
      <c r="AG75" s="64">
        <v>0</v>
      </c>
      <c r="AH75" s="64">
        <v>13</v>
      </c>
      <c r="AI75" s="64">
        <v>0.68421052631578949</v>
      </c>
      <c r="AJ75" s="64">
        <v>0</v>
      </c>
      <c r="AK75" s="64">
        <v>0</v>
      </c>
      <c r="AL75" s="64">
        <v>0</v>
      </c>
      <c r="AM75" s="64">
        <v>0</v>
      </c>
    </row>
    <row r="76" spans="1:39" x14ac:dyDescent="0.2">
      <c r="B76" t="str">
        <f t="shared" si="46"/>
        <v>NorCal-3</v>
      </c>
      <c r="C76" t="str">
        <f t="shared" si="47"/>
        <v>Nov 2024-NorCal-3</v>
      </c>
      <c r="D76">
        <f t="shared" si="48"/>
        <v>3</v>
      </c>
      <c r="E76">
        <f t="shared" si="49"/>
        <v>3.01</v>
      </c>
      <c r="F76">
        <f t="shared" si="50"/>
        <v>1</v>
      </c>
      <c r="G76">
        <f t="shared" si="51"/>
        <v>3</v>
      </c>
      <c r="H76" t="str">
        <f>IF(V76="","",IFERROR(VLOOKUP(TRIM($V76),KEY!$B$2:$E$58,3,FALSE),""))</f>
        <v>NorCal</v>
      </c>
      <c r="I76" t="str">
        <f t="shared" si="52"/>
        <v>WEST-30</v>
      </c>
      <c r="J76" t="str">
        <f t="shared" si="45"/>
        <v>Dec 2024-WEST-30</v>
      </c>
      <c r="K76">
        <f t="shared" si="53"/>
        <v>30</v>
      </c>
      <c r="L76">
        <f t="shared" si="54"/>
        <v>30.08</v>
      </c>
      <c r="M76">
        <f>IF(V76="","",IFERROR(VLOOKUP(TRIM($V76),KEY!$B$2:$E$58,4,FALSE),""))</f>
        <v>8</v>
      </c>
      <c r="N76">
        <f t="shared" si="55"/>
        <v>30</v>
      </c>
      <c r="O76" t="str">
        <f t="shared" si="56"/>
        <v>AU-4</v>
      </c>
      <c r="P76">
        <f t="shared" si="57"/>
        <v>4</v>
      </c>
      <c r="Q76">
        <f t="shared" si="58"/>
        <v>3.05</v>
      </c>
      <c r="R76">
        <f t="shared" si="59"/>
        <v>5</v>
      </c>
      <c r="S76">
        <f t="shared" si="60"/>
        <v>3</v>
      </c>
      <c r="T76" t="str">
        <f>IF(V76="","",IFERROR(VLOOKUP(TRIM($V76),KEY!$B$2:$E$58,2,FALSE),""))</f>
        <v>AU</v>
      </c>
      <c r="V76" s="64" t="s">
        <v>275</v>
      </c>
      <c r="W76" s="64">
        <v>30</v>
      </c>
      <c r="X76" s="64">
        <v>1</v>
      </c>
      <c r="Y76" s="64">
        <v>3.3333333333333333E-2</v>
      </c>
      <c r="Z76" s="64">
        <v>0</v>
      </c>
      <c r="AA76" s="64">
        <v>1</v>
      </c>
      <c r="AB76" s="64">
        <v>1</v>
      </c>
      <c r="AC76" s="64">
        <v>0</v>
      </c>
      <c r="AD76" s="64">
        <v>2</v>
      </c>
      <c r="AE76" s="64">
        <v>6.6666666666666666E-2</v>
      </c>
      <c r="AF76" s="64">
        <v>28</v>
      </c>
      <c r="AG76" s="64">
        <v>0</v>
      </c>
      <c r="AH76" s="64">
        <v>0</v>
      </c>
      <c r="AI76" s="64">
        <v>0.93333333333333335</v>
      </c>
      <c r="AJ76" s="64">
        <v>0</v>
      </c>
      <c r="AK76" s="64">
        <v>0</v>
      </c>
      <c r="AL76" s="64">
        <v>0</v>
      </c>
      <c r="AM76" s="64">
        <v>0</v>
      </c>
    </row>
    <row r="77" spans="1:39" x14ac:dyDescent="0.2">
      <c r="B77" t="str">
        <f t="shared" si="46"/>
        <v>OC-5</v>
      </c>
      <c r="C77" t="str">
        <f t="shared" si="47"/>
        <v>Nov 2024-OC-5</v>
      </c>
      <c r="D77">
        <f t="shared" si="48"/>
        <v>5</v>
      </c>
      <c r="E77">
        <f t="shared" si="49"/>
        <v>3.02</v>
      </c>
      <c r="F77">
        <f t="shared" si="50"/>
        <v>2</v>
      </c>
      <c r="G77">
        <f t="shared" si="51"/>
        <v>3</v>
      </c>
      <c r="H77" t="str">
        <f>IF(V77="","",IFERROR(VLOOKUP(TRIM($V77),KEY!$B$2:$E$58,3,FALSE),""))</f>
        <v>OC</v>
      </c>
      <c r="I77" t="str">
        <f t="shared" si="52"/>
        <v>WEST-16</v>
      </c>
      <c r="J77" t="str">
        <f t="shared" si="45"/>
        <v>Dec 2024-WEST-16</v>
      </c>
      <c r="K77">
        <f t="shared" si="53"/>
        <v>16</v>
      </c>
      <c r="L77">
        <f t="shared" si="54"/>
        <v>16.07</v>
      </c>
      <c r="M77">
        <f>IF(V77="","",IFERROR(VLOOKUP(TRIM($V77),KEY!$B$2:$E$58,4,FALSE),""))</f>
        <v>7</v>
      </c>
      <c r="N77">
        <f t="shared" si="55"/>
        <v>16</v>
      </c>
      <c r="O77" t="str">
        <f t="shared" si="56"/>
        <v>AU-3</v>
      </c>
      <c r="P77">
        <f t="shared" si="57"/>
        <v>3</v>
      </c>
      <c r="Q77">
        <f t="shared" si="58"/>
        <v>2.06</v>
      </c>
      <c r="R77">
        <f t="shared" si="59"/>
        <v>6</v>
      </c>
      <c r="S77">
        <f t="shared" si="60"/>
        <v>2</v>
      </c>
      <c r="T77" t="str">
        <f>IF(V77="","",IFERROR(VLOOKUP(TRIM($V77),KEY!$B$2:$E$58,2,FALSE),""))</f>
        <v>AU</v>
      </c>
      <c r="V77" s="64" t="s">
        <v>14</v>
      </c>
      <c r="W77" s="64">
        <v>29</v>
      </c>
      <c r="X77" s="64">
        <v>7</v>
      </c>
      <c r="Y77" s="64">
        <v>0.2413793103448276</v>
      </c>
      <c r="Z77" s="64">
        <v>0</v>
      </c>
      <c r="AA77" s="64">
        <v>7</v>
      </c>
      <c r="AB77" s="64">
        <v>0</v>
      </c>
      <c r="AC77" s="64">
        <v>1</v>
      </c>
      <c r="AD77" s="64">
        <v>8</v>
      </c>
      <c r="AE77" s="64">
        <v>0.27586206896551724</v>
      </c>
      <c r="AF77" s="64">
        <v>20</v>
      </c>
      <c r="AG77" s="64">
        <v>0</v>
      </c>
      <c r="AH77" s="64">
        <v>0</v>
      </c>
      <c r="AI77" s="64">
        <v>0.68965517241379315</v>
      </c>
      <c r="AJ77" s="64">
        <v>1</v>
      </c>
      <c r="AK77" s="64">
        <v>0</v>
      </c>
      <c r="AL77" s="64">
        <v>0</v>
      </c>
      <c r="AM77" s="64">
        <v>3.4482758620689655E-2</v>
      </c>
    </row>
    <row r="78" spans="1:39" x14ac:dyDescent="0.2">
      <c r="B78" t="str">
        <f t="shared" si="46"/>
        <v>AZ-2</v>
      </c>
      <c r="C78" t="str">
        <f t="shared" si="47"/>
        <v>Nov 2024-AZ-2</v>
      </c>
      <c r="D78">
        <f t="shared" si="48"/>
        <v>2</v>
      </c>
      <c r="E78">
        <f t="shared" si="49"/>
        <v>1.04</v>
      </c>
      <c r="F78">
        <f t="shared" si="50"/>
        <v>4</v>
      </c>
      <c r="G78">
        <f t="shared" si="51"/>
        <v>1</v>
      </c>
      <c r="H78" t="str">
        <f>IF(V78="","",IFERROR(VLOOKUP(TRIM($V78),KEY!$B$2:$E$58,3,FALSE),""))</f>
        <v>AZ</v>
      </c>
      <c r="I78" t="str">
        <f t="shared" si="52"/>
        <v>WEST--</v>
      </c>
      <c r="J78" t="str">
        <f t="shared" si="45"/>
        <v>Dec 2024-WEST--</v>
      </c>
      <c r="K78" t="str">
        <f t="shared" si="53"/>
        <v>-</v>
      </c>
      <c r="L78" t="str">
        <f t="shared" si="54"/>
        <v>-</v>
      </c>
      <c r="M78">
        <f>IF(V78="","",IFERROR(VLOOKUP(TRIM($V78),KEY!$B$2:$E$58,4,FALSE),""))</f>
        <v>9</v>
      </c>
      <c r="N78" t="str">
        <f t="shared" si="55"/>
        <v>-</v>
      </c>
      <c r="O78" t="str">
        <f t="shared" si="56"/>
        <v>BE-1</v>
      </c>
      <c r="P78">
        <f t="shared" si="57"/>
        <v>1</v>
      </c>
      <c r="Q78">
        <f t="shared" si="58"/>
        <v>1.01</v>
      </c>
      <c r="R78">
        <f t="shared" si="59"/>
        <v>1</v>
      </c>
      <c r="S78">
        <f t="shared" si="60"/>
        <v>1</v>
      </c>
      <c r="T78" t="str">
        <f>IF(V78="","",IFERROR(VLOOKUP(TRIM($V78),KEY!$B$2:$E$58,2,FALSE),""))</f>
        <v>BE</v>
      </c>
      <c r="V78" s="64" t="s">
        <v>15</v>
      </c>
      <c r="W78" s="64">
        <v>0</v>
      </c>
      <c r="X78" s="64">
        <v>0</v>
      </c>
      <c r="Y78" s="64" t="s">
        <v>274</v>
      </c>
      <c r="Z78" s="64">
        <v>0</v>
      </c>
      <c r="AA78" s="64">
        <v>0</v>
      </c>
      <c r="AB78" s="64">
        <v>0</v>
      </c>
      <c r="AC78" s="64">
        <v>0</v>
      </c>
      <c r="AD78" s="64">
        <v>0</v>
      </c>
      <c r="AE78" s="64" t="s">
        <v>274</v>
      </c>
      <c r="AF78" s="64">
        <v>0</v>
      </c>
      <c r="AG78" s="64">
        <v>0</v>
      </c>
      <c r="AH78" s="64">
        <v>0</v>
      </c>
      <c r="AI78" s="64" t="s">
        <v>274</v>
      </c>
      <c r="AJ78" s="64">
        <v>0</v>
      </c>
      <c r="AK78" s="64">
        <v>0</v>
      </c>
      <c r="AL78" s="64">
        <v>0</v>
      </c>
      <c r="AM78" s="64" t="s">
        <v>274</v>
      </c>
    </row>
    <row r="79" spans="1:39" x14ac:dyDescent="0.2">
      <c r="B79" t="str">
        <f t="shared" si="46"/>
        <v>AZ-6</v>
      </c>
      <c r="C79" t="str">
        <f t="shared" si="47"/>
        <v>Nov 2024-AZ-6</v>
      </c>
      <c r="D79">
        <f t="shared" si="48"/>
        <v>6</v>
      </c>
      <c r="E79">
        <f t="shared" si="49"/>
        <v>3.05</v>
      </c>
      <c r="F79">
        <f t="shared" si="50"/>
        <v>5</v>
      </c>
      <c r="G79">
        <f t="shared" si="51"/>
        <v>3</v>
      </c>
      <c r="H79" t="str">
        <f>IF(V79="","",IFERROR(VLOOKUP(TRIM($V79),KEY!$B$2:$E$58,3,FALSE),""))</f>
        <v>AZ</v>
      </c>
      <c r="I79" t="str">
        <f t="shared" si="52"/>
        <v>WEST-9</v>
      </c>
      <c r="J79" t="str">
        <f t="shared" si="45"/>
        <v>Dec 2024-WEST-9</v>
      </c>
      <c r="K79">
        <f t="shared" si="53"/>
        <v>9</v>
      </c>
      <c r="L79">
        <f t="shared" si="54"/>
        <v>9.1</v>
      </c>
      <c r="M79">
        <f>IF(V79="","",IFERROR(VLOOKUP(TRIM($V79),KEY!$B$2:$E$58,4,FALSE),""))</f>
        <v>10</v>
      </c>
      <c r="N79">
        <f t="shared" si="55"/>
        <v>9</v>
      </c>
      <c r="O79" t="str">
        <f t="shared" si="56"/>
        <v>BM-3</v>
      </c>
      <c r="P79">
        <f t="shared" si="57"/>
        <v>3</v>
      </c>
      <c r="Q79">
        <f t="shared" si="58"/>
        <v>3.01</v>
      </c>
      <c r="R79">
        <f t="shared" si="59"/>
        <v>1</v>
      </c>
      <c r="S79">
        <f t="shared" si="60"/>
        <v>3</v>
      </c>
      <c r="T79" t="str">
        <f>IF(V79="","",IFERROR(VLOOKUP(TRIM($V79),KEY!$B$2:$E$58,2,FALSE),""))</f>
        <v>BM</v>
      </c>
      <c r="V79" s="64" t="s">
        <v>16</v>
      </c>
      <c r="W79" s="64">
        <v>77</v>
      </c>
      <c r="X79" s="64">
        <v>22</v>
      </c>
      <c r="Y79" s="64">
        <v>0.2857142857142857</v>
      </c>
      <c r="Z79" s="64">
        <v>3</v>
      </c>
      <c r="AA79" s="64">
        <v>22</v>
      </c>
      <c r="AB79" s="64">
        <v>3</v>
      </c>
      <c r="AC79" s="64">
        <v>4</v>
      </c>
      <c r="AD79" s="64">
        <v>32</v>
      </c>
      <c r="AE79" s="64">
        <v>0.41558441558441561</v>
      </c>
      <c r="AF79" s="64">
        <v>27</v>
      </c>
      <c r="AG79" s="64">
        <v>0</v>
      </c>
      <c r="AH79" s="64">
        <v>0</v>
      </c>
      <c r="AI79" s="64">
        <v>0.35064935064935066</v>
      </c>
      <c r="AJ79" s="64">
        <v>6</v>
      </c>
      <c r="AK79" s="64">
        <v>12</v>
      </c>
      <c r="AL79" s="64">
        <v>0</v>
      </c>
      <c r="AM79" s="64">
        <v>0.23376623376623376</v>
      </c>
    </row>
    <row r="80" spans="1:39" x14ac:dyDescent="0.2">
      <c r="B80" t="str">
        <f t="shared" si="46"/>
        <v>TX-5</v>
      </c>
      <c r="C80" t="str">
        <f t="shared" si="47"/>
        <v>Nov 2024-TX-5</v>
      </c>
      <c r="D80">
        <f t="shared" si="48"/>
        <v>5</v>
      </c>
      <c r="E80">
        <f t="shared" si="49"/>
        <v>3.01</v>
      </c>
      <c r="F80">
        <f t="shared" si="50"/>
        <v>1</v>
      </c>
      <c r="G80">
        <f t="shared" si="51"/>
        <v>3</v>
      </c>
      <c r="H80" t="str">
        <f>IF(V80="","",IFERROR(VLOOKUP(TRIM($V80),KEY!$B$2:$E$58,3,FALSE),""))</f>
        <v>TX</v>
      </c>
      <c r="I80" t="str">
        <f t="shared" si="52"/>
        <v>WEST-5</v>
      </c>
      <c r="J80" t="str">
        <f t="shared" si="45"/>
        <v>Dec 2024-WEST-5</v>
      </c>
      <c r="K80">
        <f t="shared" si="53"/>
        <v>5</v>
      </c>
      <c r="L80">
        <f t="shared" si="54"/>
        <v>5.1100000000000003</v>
      </c>
      <c r="M80">
        <f>IF(V80="","",IFERROR(VLOOKUP(TRIM($V80),KEY!$B$2:$E$58,4,FALSE),""))</f>
        <v>11</v>
      </c>
      <c r="N80">
        <f t="shared" si="55"/>
        <v>5</v>
      </c>
      <c r="O80" t="str">
        <f t="shared" si="56"/>
        <v>BM-1</v>
      </c>
      <c r="P80">
        <f t="shared" si="57"/>
        <v>1</v>
      </c>
      <c r="Q80">
        <f t="shared" si="58"/>
        <v>1.02</v>
      </c>
      <c r="R80">
        <f t="shared" si="59"/>
        <v>2</v>
      </c>
      <c r="S80">
        <f t="shared" si="60"/>
        <v>1</v>
      </c>
      <c r="T80" t="str">
        <f>IF(V80="","",IFERROR(VLOOKUP(TRIM($V80),KEY!$B$2:$E$58,2,FALSE),""))</f>
        <v>BM</v>
      </c>
      <c r="V80" s="64" t="s">
        <v>17</v>
      </c>
      <c r="W80" s="64">
        <v>28</v>
      </c>
      <c r="X80" s="64">
        <v>10</v>
      </c>
      <c r="Y80" s="64">
        <v>0.35714285714285715</v>
      </c>
      <c r="Z80" s="64">
        <v>1</v>
      </c>
      <c r="AA80" s="64">
        <v>10</v>
      </c>
      <c r="AB80" s="64">
        <v>0</v>
      </c>
      <c r="AC80" s="64">
        <v>1</v>
      </c>
      <c r="AD80" s="64">
        <v>12</v>
      </c>
      <c r="AE80" s="64">
        <v>0.42857142857142855</v>
      </c>
      <c r="AF80" s="64">
        <v>15</v>
      </c>
      <c r="AG80" s="64">
        <v>0</v>
      </c>
      <c r="AH80" s="64">
        <v>1</v>
      </c>
      <c r="AI80" s="64">
        <v>0.5714285714285714</v>
      </c>
      <c r="AJ80" s="64">
        <v>0</v>
      </c>
      <c r="AK80" s="64">
        <v>0</v>
      </c>
      <c r="AL80" s="64">
        <v>0</v>
      </c>
      <c r="AM80" s="64">
        <v>0</v>
      </c>
    </row>
    <row r="81" spans="2:39" x14ac:dyDescent="0.2">
      <c r="B81" t="str">
        <f t="shared" si="46"/>
        <v>SoCal-7</v>
      </c>
      <c r="C81" t="str">
        <f t="shared" si="47"/>
        <v>Nov 2024-SoCal-7</v>
      </c>
      <c r="D81">
        <f t="shared" si="48"/>
        <v>7</v>
      </c>
      <c r="E81">
        <f t="shared" si="49"/>
        <v>7.04</v>
      </c>
      <c r="F81">
        <f t="shared" si="50"/>
        <v>4</v>
      </c>
      <c r="G81">
        <f t="shared" si="51"/>
        <v>7</v>
      </c>
      <c r="H81" t="str">
        <f>IF(V81="","",IFERROR(VLOOKUP(TRIM($V81),KEY!$B$2:$E$58,3,FALSE),""))</f>
        <v>SoCal</v>
      </c>
      <c r="I81" t="str">
        <f t="shared" si="52"/>
        <v>WEST-28</v>
      </c>
      <c r="J81" t="str">
        <f t="shared" si="45"/>
        <v>Dec 2024-WEST-28</v>
      </c>
      <c r="K81">
        <f t="shared" si="53"/>
        <v>28</v>
      </c>
      <c r="L81">
        <f t="shared" si="54"/>
        <v>28.12</v>
      </c>
      <c r="M81">
        <f>IF(V81="","",IFERROR(VLOOKUP(TRIM($V81),KEY!$B$2:$E$58,4,FALSE),""))</f>
        <v>12</v>
      </c>
      <c r="N81">
        <f t="shared" si="55"/>
        <v>28</v>
      </c>
      <c r="O81" t="str">
        <f t="shared" si="56"/>
        <v>BM-6</v>
      </c>
      <c r="P81">
        <f t="shared" si="57"/>
        <v>6</v>
      </c>
      <c r="Q81">
        <f t="shared" si="58"/>
        <v>6.05</v>
      </c>
      <c r="R81">
        <f t="shared" si="59"/>
        <v>5</v>
      </c>
      <c r="S81">
        <f t="shared" si="60"/>
        <v>6</v>
      </c>
      <c r="T81" t="str">
        <f>IF(V81="","",IFERROR(VLOOKUP(TRIM($V81),KEY!$B$2:$E$58,2,FALSE),""))</f>
        <v>BM</v>
      </c>
      <c r="V81" s="64" t="s">
        <v>267</v>
      </c>
      <c r="W81" s="64">
        <v>32</v>
      </c>
      <c r="X81" s="64">
        <v>2</v>
      </c>
      <c r="Y81" s="64">
        <v>6.25E-2</v>
      </c>
      <c r="Z81" s="64">
        <v>0</v>
      </c>
      <c r="AA81" s="64">
        <v>2</v>
      </c>
      <c r="AB81" s="64">
        <v>0</v>
      </c>
      <c r="AC81" s="64">
        <v>0</v>
      </c>
      <c r="AD81" s="64">
        <v>2</v>
      </c>
      <c r="AE81" s="64">
        <v>6.25E-2</v>
      </c>
      <c r="AF81" s="64">
        <v>3</v>
      </c>
      <c r="AG81" s="64">
        <v>0</v>
      </c>
      <c r="AH81" s="64">
        <v>26</v>
      </c>
      <c r="AI81" s="64">
        <v>0.90625</v>
      </c>
      <c r="AJ81" s="64">
        <v>0</v>
      </c>
      <c r="AK81" s="64">
        <v>1</v>
      </c>
      <c r="AL81" s="64">
        <v>0</v>
      </c>
      <c r="AM81" s="64">
        <v>3.125E-2</v>
      </c>
    </row>
    <row r="82" spans="2:39" x14ac:dyDescent="0.2">
      <c r="B82" t="str">
        <f t="shared" si="46"/>
        <v>OC-7</v>
      </c>
      <c r="C82" t="str">
        <f t="shared" si="47"/>
        <v>Nov 2024-OC-7</v>
      </c>
      <c r="D82">
        <f t="shared" si="48"/>
        <v>7</v>
      </c>
      <c r="E82">
        <f t="shared" si="49"/>
        <v>5.03</v>
      </c>
      <c r="F82">
        <f t="shared" si="50"/>
        <v>3</v>
      </c>
      <c r="G82">
        <f t="shared" si="51"/>
        <v>5</v>
      </c>
      <c r="H82" t="str">
        <f>IF(V82="","",IFERROR(VLOOKUP(TRIM($V82),KEY!$B$2:$E$58,3,FALSE),""))</f>
        <v>OC</v>
      </c>
      <c r="I82" t="str">
        <f t="shared" si="52"/>
        <v>WEST-24</v>
      </c>
      <c r="J82" t="str">
        <f t="shared" si="45"/>
        <v>Dec 2024-WEST-24</v>
      </c>
      <c r="K82">
        <f t="shared" si="53"/>
        <v>24</v>
      </c>
      <c r="L82">
        <f t="shared" si="54"/>
        <v>24.13</v>
      </c>
      <c r="M82">
        <f>IF(V82="","",IFERROR(VLOOKUP(TRIM($V82),KEY!$B$2:$E$58,4,FALSE),""))</f>
        <v>13</v>
      </c>
      <c r="N82">
        <f t="shared" si="55"/>
        <v>24</v>
      </c>
      <c r="O82" t="str">
        <f t="shared" si="56"/>
        <v>BM-5</v>
      </c>
      <c r="P82">
        <f t="shared" si="57"/>
        <v>5</v>
      </c>
      <c r="Q82">
        <f t="shared" si="58"/>
        <v>5.03</v>
      </c>
      <c r="R82">
        <f t="shared" si="59"/>
        <v>3</v>
      </c>
      <c r="S82">
        <f t="shared" si="60"/>
        <v>5</v>
      </c>
      <c r="T82" t="str">
        <f>IF(V82="","",IFERROR(VLOOKUP(TRIM($V82),KEY!$B$2:$E$58,2,FALSE),""))</f>
        <v>BM</v>
      </c>
      <c r="V82" s="64" t="s">
        <v>18</v>
      </c>
      <c r="W82" s="64">
        <v>45</v>
      </c>
      <c r="X82" s="64">
        <v>6</v>
      </c>
      <c r="Y82" s="64">
        <v>0.13333333333333333</v>
      </c>
      <c r="Z82" s="64">
        <v>0</v>
      </c>
      <c r="AA82" s="64">
        <v>6</v>
      </c>
      <c r="AB82" s="64">
        <v>0</v>
      </c>
      <c r="AC82" s="64">
        <v>0</v>
      </c>
      <c r="AD82" s="64">
        <v>6</v>
      </c>
      <c r="AE82" s="64">
        <v>0.13333333333333333</v>
      </c>
      <c r="AF82" s="64">
        <v>0</v>
      </c>
      <c r="AG82" s="64">
        <v>0</v>
      </c>
      <c r="AH82" s="64">
        <v>37</v>
      </c>
      <c r="AI82" s="64">
        <v>0.82222222222222219</v>
      </c>
      <c r="AJ82" s="64">
        <v>0</v>
      </c>
      <c r="AK82" s="64">
        <v>2</v>
      </c>
      <c r="AL82" s="64">
        <v>0</v>
      </c>
      <c r="AM82" s="64">
        <v>4.4444444444444446E-2</v>
      </c>
    </row>
    <row r="83" spans="2:39" x14ac:dyDescent="0.2">
      <c r="B83" t="str">
        <f t="shared" si="46"/>
        <v>SoCal-4</v>
      </c>
      <c r="C83" t="str">
        <f t="shared" si="47"/>
        <v>Nov 2024-SoCal-4</v>
      </c>
      <c r="D83">
        <f t="shared" si="48"/>
        <v>4</v>
      </c>
      <c r="E83">
        <f t="shared" si="49"/>
        <v>4.03</v>
      </c>
      <c r="F83">
        <f t="shared" si="50"/>
        <v>3</v>
      </c>
      <c r="G83">
        <f t="shared" si="51"/>
        <v>4</v>
      </c>
      <c r="H83" t="str">
        <f>IF(V83="","",IFERROR(VLOOKUP(TRIM($V83),KEY!$B$2:$E$58,3,FALSE),""))</f>
        <v>SoCal</v>
      </c>
      <c r="I83" t="str">
        <f t="shared" si="52"/>
        <v>WEST-18</v>
      </c>
      <c r="J83" t="str">
        <f t="shared" si="45"/>
        <v>Dec 2024-WEST-18</v>
      </c>
      <c r="K83">
        <f t="shared" si="53"/>
        <v>18</v>
      </c>
      <c r="L83">
        <f t="shared" si="54"/>
        <v>18.14</v>
      </c>
      <c r="M83">
        <f>IF(V83="","",IFERROR(VLOOKUP(TRIM($V83),KEY!$B$2:$E$58,4,FALSE),""))</f>
        <v>14</v>
      </c>
      <c r="N83">
        <f t="shared" si="55"/>
        <v>18</v>
      </c>
      <c r="O83" t="str">
        <f t="shared" si="56"/>
        <v>BM-4</v>
      </c>
      <c r="P83">
        <f t="shared" si="57"/>
        <v>4</v>
      </c>
      <c r="Q83">
        <f t="shared" si="58"/>
        <v>4.04</v>
      </c>
      <c r="R83">
        <f t="shared" si="59"/>
        <v>4</v>
      </c>
      <c r="S83">
        <f t="shared" si="60"/>
        <v>4</v>
      </c>
      <c r="T83" t="str">
        <f>IF(V83="","",IFERROR(VLOOKUP(TRIM($V83),KEY!$B$2:$E$58,2,FALSE),""))</f>
        <v>BM</v>
      </c>
      <c r="V83" s="64" t="s">
        <v>19</v>
      </c>
      <c r="W83" s="64">
        <v>79</v>
      </c>
      <c r="X83" s="64">
        <v>14</v>
      </c>
      <c r="Y83" s="64">
        <v>0.17721518987341772</v>
      </c>
      <c r="Z83" s="64">
        <v>0</v>
      </c>
      <c r="AA83" s="64">
        <v>14</v>
      </c>
      <c r="AB83" s="64">
        <v>1</v>
      </c>
      <c r="AC83" s="64">
        <v>4</v>
      </c>
      <c r="AD83" s="64">
        <v>19</v>
      </c>
      <c r="AE83" s="64">
        <v>0.24050632911392406</v>
      </c>
      <c r="AF83" s="64">
        <v>3</v>
      </c>
      <c r="AG83" s="64">
        <v>0</v>
      </c>
      <c r="AH83" s="64">
        <v>52</v>
      </c>
      <c r="AI83" s="64">
        <v>0.69620253164556967</v>
      </c>
      <c r="AJ83" s="64">
        <v>2</v>
      </c>
      <c r="AK83" s="64">
        <v>3</v>
      </c>
      <c r="AL83" s="64">
        <v>0</v>
      </c>
      <c r="AM83" s="64">
        <v>6.3291139240506333E-2</v>
      </c>
    </row>
    <row r="84" spans="2:39" x14ac:dyDescent="0.2">
      <c r="B84" t="str">
        <f t="shared" si="46"/>
        <v>NorCal-5</v>
      </c>
      <c r="C84" t="str">
        <f t="shared" si="47"/>
        <v>Nov 2024-NorCal-5</v>
      </c>
      <c r="D84">
        <f t="shared" si="48"/>
        <v>5</v>
      </c>
      <c r="E84">
        <f t="shared" si="49"/>
        <v>5.0199999999999996</v>
      </c>
      <c r="F84">
        <f t="shared" si="50"/>
        <v>2</v>
      </c>
      <c r="G84">
        <f t="shared" si="51"/>
        <v>5</v>
      </c>
      <c r="H84" t="str">
        <f>IF(V84="","",IFERROR(VLOOKUP(TRIM($V84),KEY!$B$2:$E$58,3,FALSE),""))</f>
        <v>NorCal</v>
      </c>
      <c r="I84" t="str">
        <f t="shared" si="52"/>
        <v>WEST-35</v>
      </c>
      <c r="J84" t="str">
        <f t="shared" si="45"/>
        <v>Dec 2024-WEST-35</v>
      </c>
      <c r="K84">
        <f t="shared" si="53"/>
        <v>35</v>
      </c>
      <c r="L84">
        <f t="shared" si="54"/>
        <v>32.15</v>
      </c>
      <c r="M84">
        <f>IF(V84="","",IFERROR(VLOOKUP(TRIM($V84),KEY!$B$2:$E$58,4,FALSE),""))</f>
        <v>15</v>
      </c>
      <c r="N84">
        <f t="shared" si="55"/>
        <v>32</v>
      </c>
      <c r="O84" t="str">
        <f t="shared" si="56"/>
        <v>AC-4</v>
      </c>
      <c r="P84">
        <f t="shared" si="57"/>
        <v>4</v>
      </c>
      <c r="Q84">
        <f t="shared" si="58"/>
        <v>3.03</v>
      </c>
      <c r="R84">
        <f t="shared" si="59"/>
        <v>3</v>
      </c>
      <c r="S84">
        <f t="shared" si="60"/>
        <v>3</v>
      </c>
      <c r="T84" t="str">
        <f>IF(V84="","",IFERROR(VLOOKUP(TRIM($V84),KEY!$B$2:$E$58,2,FALSE),""))</f>
        <v>AC</v>
      </c>
      <c r="V84" s="64" t="s">
        <v>262</v>
      </c>
      <c r="W84" s="64">
        <v>10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0</v>
      </c>
      <c r="AF84" s="64">
        <v>0</v>
      </c>
      <c r="AG84" s="64">
        <v>0</v>
      </c>
      <c r="AH84" s="64">
        <v>10</v>
      </c>
      <c r="AI84" s="64">
        <v>1</v>
      </c>
      <c r="AJ84" s="64">
        <v>0</v>
      </c>
      <c r="AK84" s="64">
        <v>0</v>
      </c>
      <c r="AL84" s="64">
        <v>0</v>
      </c>
      <c r="AM84" s="64">
        <v>0</v>
      </c>
    </row>
    <row r="85" spans="2:39" x14ac:dyDescent="0.2">
      <c r="B85" t="str">
        <f t="shared" si="46"/>
        <v>NorCal-6</v>
      </c>
      <c r="C85" t="str">
        <f t="shared" si="47"/>
        <v>Nov 2024-NorCal-6</v>
      </c>
      <c r="D85">
        <f t="shared" si="48"/>
        <v>6</v>
      </c>
      <c r="E85">
        <f t="shared" si="49"/>
        <v>5.03</v>
      </c>
      <c r="F85">
        <f t="shared" si="50"/>
        <v>3</v>
      </c>
      <c r="G85">
        <f t="shared" si="51"/>
        <v>5</v>
      </c>
      <c r="H85" t="str">
        <f>IF(V85="","",IFERROR(VLOOKUP(TRIM($V85),KEY!$B$2:$E$58,3,FALSE),""))</f>
        <v>NorCal</v>
      </c>
      <c r="I85" t="str">
        <f t="shared" si="52"/>
        <v>WEST-36</v>
      </c>
      <c r="J85" t="str">
        <f t="shared" si="45"/>
        <v>Dec 2024-WEST-36</v>
      </c>
      <c r="K85">
        <f t="shared" si="53"/>
        <v>36</v>
      </c>
      <c r="L85">
        <f t="shared" si="54"/>
        <v>32.159999999999997</v>
      </c>
      <c r="M85">
        <f>IF(V85="","",IFERROR(VLOOKUP(TRIM($V85),KEY!$B$2:$E$58,4,FALSE),""))</f>
        <v>16</v>
      </c>
      <c r="N85">
        <f t="shared" si="55"/>
        <v>32</v>
      </c>
      <c r="O85" t="str">
        <f t="shared" si="56"/>
        <v>HO-5</v>
      </c>
      <c r="P85">
        <f t="shared" si="57"/>
        <v>5</v>
      </c>
      <c r="Q85">
        <f t="shared" si="58"/>
        <v>4.01</v>
      </c>
      <c r="R85">
        <f t="shared" si="59"/>
        <v>1</v>
      </c>
      <c r="S85">
        <f t="shared" si="60"/>
        <v>4</v>
      </c>
      <c r="T85" t="str">
        <f>IF(V85="","",IFERROR(VLOOKUP(TRIM($V85),KEY!$B$2:$E$58,2,FALSE),""))</f>
        <v>HO</v>
      </c>
      <c r="V85" s="64" t="s">
        <v>22</v>
      </c>
      <c r="W85" s="64">
        <v>19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  <c r="AC85" s="64">
        <v>0</v>
      </c>
      <c r="AD85" s="64">
        <v>0</v>
      </c>
      <c r="AE85" s="64">
        <v>0</v>
      </c>
      <c r="AF85" s="64">
        <v>19</v>
      </c>
      <c r="AG85" s="64">
        <v>0</v>
      </c>
      <c r="AH85" s="64">
        <v>0</v>
      </c>
      <c r="AI85" s="64">
        <v>1</v>
      </c>
      <c r="AJ85" s="64">
        <v>0</v>
      </c>
      <c r="AK85" s="64">
        <v>0</v>
      </c>
      <c r="AL85" s="64">
        <v>0</v>
      </c>
      <c r="AM85" s="64">
        <v>0</v>
      </c>
    </row>
    <row r="86" spans="2:39" x14ac:dyDescent="0.2">
      <c r="B86" t="str">
        <f t="shared" si="46"/>
        <v>OC-4</v>
      </c>
      <c r="C86" t="str">
        <f t="shared" si="47"/>
        <v>Nov 2024-OC-4</v>
      </c>
      <c r="D86">
        <f t="shared" si="48"/>
        <v>4</v>
      </c>
      <c r="E86">
        <f t="shared" si="49"/>
        <v>2.04</v>
      </c>
      <c r="F86">
        <f t="shared" si="50"/>
        <v>4</v>
      </c>
      <c r="G86">
        <f t="shared" si="51"/>
        <v>2</v>
      </c>
      <c r="H86" t="str">
        <f>IF(V86="","",IFERROR(VLOOKUP(TRIM($V86),KEY!$B$2:$E$58,3,FALSE),""))</f>
        <v>OC</v>
      </c>
      <c r="I86" t="str">
        <f t="shared" si="52"/>
        <v>WEST-8</v>
      </c>
      <c r="J86" t="str">
        <f t="shared" si="45"/>
        <v>Dec 2024-WEST-8</v>
      </c>
      <c r="K86">
        <f t="shared" si="53"/>
        <v>8</v>
      </c>
      <c r="L86">
        <f t="shared" si="54"/>
        <v>8.17</v>
      </c>
      <c r="M86">
        <f>IF(V86="","",IFERROR(VLOOKUP(TRIM($V86),KEY!$B$2:$E$58,4,FALSE),""))</f>
        <v>17</v>
      </c>
      <c r="N86">
        <f t="shared" si="55"/>
        <v>8</v>
      </c>
      <c r="O86" t="str">
        <f t="shared" si="56"/>
        <v>BM-2</v>
      </c>
      <c r="P86">
        <f t="shared" si="57"/>
        <v>2</v>
      </c>
      <c r="Q86">
        <f t="shared" si="58"/>
        <v>2.06</v>
      </c>
      <c r="R86">
        <f t="shared" si="59"/>
        <v>6</v>
      </c>
      <c r="S86">
        <f t="shared" si="60"/>
        <v>2</v>
      </c>
      <c r="T86" t="str">
        <f>IF(V86="","",IFERROR(VLOOKUP(TRIM($V86),KEY!$B$2:$E$58,2,FALSE),""))</f>
        <v>BM</v>
      </c>
      <c r="V86" s="64" t="s">
        <v>20</v>
      </c>
      <c r="W86" s="64">
        <v>149</v>
      </c>
      <c r="X86" s="64">
        <v>43</v>
      </c>
      <c r="Y86" s="64">
        <v>0.28859060402684567</v>
      </c>
      <c r="Z86" s="64">
        <v>1</v>
      </c>
      <c r="AA86" s="64">
        <v>43</v>
      </c>
      <c r="AB86" s="64">
        <v>1</v>
      </c>
      <c r="AC86" s="64">
        <v>6</v>
      </c>
      <c r="AD86" s="64">
        <v>51</v>
      </c>
      <c r="AE86" s="64">
        <v>0.34228187919463088</v>
      </c>
      <c r="AF86" s="64">
        <v>53</v>
      </c>
      <c r="AG86" s="64">
        <v>36</v>
      </c>
      <c r="AH86" s="64">
        <v>0</v>
      </c>
      <c r="AI86" s="64">
        <v>0.59731543624161076</v>
      </c>
      <c r="AJ86" s="64">
        <v>4</v>
      </c>
      <c r="AK86" s="64">
        <v>5</v>
      </c>
      <c r="AL86" s="64">
        <v>0</v>
      </c>
      <c r="AM86" s="64">
        <v>6.0402684563758392E-2</v>
      </c>
    </row>
    <row r="87" spans="2:39" x14ac:dyDescent="0.2">
      <c r="B87" t="str">
        <f t="shared" si="46"/>
        <v>OC-6</v>
      </c>
      <c r="C87" t="str">
        <f t="shared" si="47"/>
        <v>Nov 2024-OC-6</v>
      </c>
      <c r="D87">
        <f t="shared" si="48"/>
        <v>6</v>
      </c>
      <c r="E87">
        <f t="shared" si="49"/>
        <v>4.05</v>
      </c>
      <c r="F87">
        <f t="shared" si="50"/>
        <v>5</v>
      </c>
      <c r="G87">
        <f t="shared" si="51"/>
        <v>4</v>
      </c>
      <c r="H87" t="str">
        <f>IF(V87="","",IFERROR(VLOOKUP(TRIM($V87),KEY!$B$2:$E$58,3,FALSE),""))</f>
        <v>OC</v>
      </c>
      <c r="I87" t="str">
        <f t="shared" si="52"/>
        <v>WEST-19</v>
      </c>
      <c r="J87" t="str">
        <f t="shared" si="45"/>
        <v>Dec 2024-WEST-19</v>
      </c>
      <c r="K87">
        <f t="shared" si="53"/>
        <v>19</v>
      </c>
      <c r="L87">
        <f t="shared" si="54"/>
        <v>19.18</v>
      </c>
      <c r="M87">
        <f>IF(V87="","",IFERROR(VLOOKUP(TRIM($V87),KEY!$B$2:$E$58,4,FALSE),""))</f>
        <v>18</v>
      </c>
      <c r="N87">
        <f t="shared" si="55"/>
        <v>19</v>
      </c>
      <c r="O87" t="str">
        <f t="shared" si="56"/>
        <v>MI-1</v>
      </c>
      <c r="P87">
        <f t="shared" si="57"/>
        <v>1</v>
      </c>
      <c r="Q87">
        <f t="shared" si="58"/>
        <v>1.01</v>
      </c>
      <c r="R87">
        <f t="shared" si="59"/>
        <v>1</v>
      </c>
      <c r="S87">
        <f t="shared" si="60"/>
        <v>1</v>
      </c>
      <c r="T87" t="str">
        <f>IF(V87="","",IFERROR(VLOOKUP(TRIM($V87),KEY!$B$2:$E$58,2,FALSE),""))</f>
        <v>MI</v>
      </c>
      <c r="V87" s="64" t="s">
        <v>37</v>
      </c>
      <c r="W87" s="64">
        <v>17</v>
      </c>
      <c r="X87" s="64">
        <v>3</v>
      </c>
      <c r="Y87" s="64">
        <v>0.17647058823529413</v>
      </c>
      <c r="Z87" s="64">
        <v>0</v>
      </c>
      <c r="AA87" s="64">
        <v>3</v>
      </c>
      <c r="AB87" s="64">
        <v>0</v>
      </c>
      <c r="AC87" s="64">
        <v>1</v>
      </c>
      <c r="AD87" s="64">
        <v>4</v>
      </c>
      <c r="AE87" s="64">
        <v>0.23529411764705882</v>
      </c>
      <c r="AF87" s="64">
        <v>13</v>
      </c>
      <c r="AG87" s="64">
        <v>0</v>
      </c>
      <c r="AH87" s="64">
        <v>0</v>
      </c>
      <c r="AI87" s="64">
        <v>0.76470588235294112</v>
      </c>
      <c r="AJ87" s="64">
        <v>0</v>
      </c>
      <c r="AK87" s="64">
        <v>0</v>
      </c>
      <c r="AL87" s="64">
        <v>0</v>
      </c>
      <c r="AM87" s="64">
        <v>0</v>
      </c>
    </row>
    <row r="88" spans="2:39" x14ac:dyDescent="0.2">
      <c r="B88" t="str">
        <f t="shared" si="46"/>
        <v>TX-1</v>
      </c>
      <c r="C88" t="str">
        <f t="shared" si="47"/>
        <v>Nov 2024-TX-1</v>
      </c>
      <c r="D88">
        <f t="shared" si="48"/>
        <v>1</v>
      </c>
      <c r="E88">
        <f t="shared" si="49"/>
        <v>1.02</v>
      </c>
      <c r="F88">
        <f t="shared" si="50"/>
        <v>2</v>
      </c>
      <c r="G88">
        <f t="shared" si="51"/>
        <v>1</v>
      </c>
      <c r="H88" t="str">
        <f>IF(V88="","",IFERROR(VLOOKUP(TRIM($V88),KEY!$B$2:$E$58,3,FALSE),""))</f>
        <v>TX</v>
      </c>
      <c r="I88" t="str">
        <f t="shared" si="52"/>
        <v>WEST--</v>
      </c>
      <c r="J88" t="str">
        <f t="shared" si="45"/>
        <v>Dec 2024-WEST--</v>
      </c>
      <c r="K88" t="str">
        <f t="shared" si="53"/>
        <v>-</v>
      </c>
      <c r="L88" t="str">
        <f t="shared" si="54"/>
        <v>-</v>
      </c>
      <c r="M88">
        <f>IF(V88="","",IFERROR(VLOOKUP(TRIM($V88),KEY!$B$2:$E$58,4,FALSE),""))</f>
        <v>19</v>
      </c>
      <c r="N88" t="str">
        <f t="shared" si="55"/>
        <v>-</v>
      </c>
      <c r="O88" t="str">
        <f t="shared" si="56"/>
        <v>GE-1</v>
      </c>
      <c r="P88">
        <f t="shared" si="57"/>
        <v>1</v>
      </c>
      <c r="Q88">
        <f t="shared" si="58"/>
        <v>1.01</v>
      </c>
      <c r="R88">
        <f t="shared" si="59"/>
        <v>1</v>
      </c>
      <c r="S88">
        <f t="shared" si="60"/>
        <v>1</v>
      </c>
      <c r="T88" t="str">
        <f>IF(V88="","",IFERROR(VLOOKUP(TRIM($V88),KEY!$B$2:$E$58,2,FALSE),""))</f>
        <v>GE</v>
      </c>
      <c r="V88" s="64" t="s">
        <v>263</v>
      </c>
      <c r="W88" s="64">
        <v>0</v>
      </c>
      <c r="X88" s="64">
        <v>0</v>
      </c>
      <c r="Y88" s="64" t="s">
        <v>274</v>
      </c>
      <c r="Z88" s="64">
        <v>0</v>
      </c>
      <c r="AA88" s="64">
        <v>0</v>
      </c>
      <c r="AB88" s="64">
        <v>0</v>
      </c>
      <c r="AC88" s="64">
        <v>0</v>
      </c>
      <c r="AD88" s="64">
        <v>0</v>
      </c>
      <c r="AE88" s="64" t="s">
        <v>274</v>
      </c>
      <c r="AF88" s="64">
        <v>0</v>
      </c>
      <c r="AG88" s="64">
        <v>0</v>
      </c>
      <c r="AH88" s="64">
        <v>0</v>
      </c>
      <c r="AI88" s="64" t="s">
        <v>274</v>
      </c>
      <c r="AJ88" s="64">
        <v>0</v>
      </c>
      <c r="AK88" s="64">
        <v>0</v>
      </c>
      <c r="AL88" s="64">
        <v>0</v>
      </c>
      <c r="AM88" s="64" t="s">
        <v>274</v>
      </c>
    </row>
    <row r="89" spans="2:39" x14ac:dyDescent="0.2">
      <c r="B89" t="str">
        <f t="shared" si="46"/>
        <v>TX-2</v>
      </c>
      <c r="C89" t="str">
        <f t="shared" si="47"/>
        <v>Nov 2024-TX-2</v>
      </c>
      <c r="D89">
        <f t="shared" si="48"/>
        <v>2</v>
      </c>
      <c r="E89">
        <f t="shared" si="49"/>
        <v>1.03</v>
      </c>
      <c r="F89">
        <f t="shared" si="50"/>
        <v>3</v>
      </c>
      <c r="G89">
        <f t="shared" si="51"/>
        <v>1</v>
      </c>
      <c r="H89" t="str">
        <f>IF(V89="","",IFERROR(VLOOKUP(TRIM($V89),KEY!$B$2:$E$58,3,FALSE),""))</f>
        <v>TX</v>
      </c>
      <c r="I89" t="str">
        <f t="shared" si="52"/>
        <v>WEST--</v>
      </c>
      <c r="J89" t="str">
        <f t="shared" si="45"/>
        <v>Dec 2024-WEST--</v>
      </c>
      <c r="K89" t="str">
        <f t="shared" si="53"/>
        <v>-</v>
      </c>
      <c r="L89" t="str">
        <f t="shared" si="54"/>
        <v>-</v>
      </c>
      <c r="M89">
        <f>IF(V89="","",IFERROR(VLOOKUP(TRIM($V89),KEY!$B$2:$E$58,4,FALSE),""))</f>
        <v>20</v>
      </c>
      <c r="N89" t="str">
        <f t="shared" si="55"/>
        <v>-</v>
      </c>
      <c r="O89" t="str">
        <f t="shared" si="56"/>
        <v>HO-1</v>
      </c>
      <c r="P89">
        <f t="shared" si="57"/>
        <v>1</v>
      </c>
      <c r="Q89">
        <f t="shared" si="58"/>
        <v>1.02</v>
      </c>
      <c r="R89">
        <f t="shared" si="59"/>
        <v>2</v>
      </c>
      <c r="S89">
        <f t="shared" si="60"/>
        <v>1</v>
      </c>
      <c r="T89" t="str">
        <f>IF(V89="","",IFERROR(VLOOKUP(TRIM($V89),KEY!$B$2:$E$58,2,FALSE),""))</f>
        <v>HO</v>
      </c>
      <c r="V89" s="64" t="s">
        <v>239</v>
      </c>
      <c r="W89" s="64">
        <v>0</v>
      </c>
      <c r="X89" s="64">
        <v>0</v>
      </c>
      <c r="Y89" s="64" t="s">
        <v>274</v>
      </c>
      <c r="Z89" s="64">
        <v>0</v>
      </c>
      <c r="AA89" s="64">
        <v>0</v>
      </c>
      <c r="AB89" s="64">
        <v>0</v>
      </c>
      <c r="AC89" s="64">
        <v>0</v>
      </c>
      <c r="AD89" s="64">
        <v>0</v>
      </c>
      <c r="AE89" s="64" t="s">
        <v>274</v>
      </c>
      <c r="AF89" s="64">
        <v>0</v>
      </c>
      <c r="AG89" s="64">
        <v>0</v>
      </c>
      <c r="AH89" s="64">
        <v>0</v>
      </c>
      <c r="AI89" s="64" t="s">
        <v>274</v>
      </c>
      <c r="AJ89" s="64">
        <v>0</v>
      </c>
      <c r="AK89" s="64">
        <v>0</v>
      </c>
      <c r="AL89" s="64">
        <v>0</v>
      </c>
      <c r="AM89" s="64" t="s">
        <v>274</v>
      </c>
    </row>
    <row r="90" spans="2:39" x14ac:dyDescent="0.2">
      <c r="B90" t="str">
        <f t="shared" si="46"/>
        <v>NorCal-1</v>
      </c>
      <c r="C90" t="str">
        <f t="shared" si="47"/>
        <v>Nov 2024-NorCal-1</v>
      </c>
      <c r="D90">
        <f t="shared" si="48"/>
        <v>1</v>
      </c>
      <c r="E90">
        <f t="shared" si="49"/>
        <v>1.04</v>
      </c>
      <c r="F90">
        <f t="shared" si="50"/>
        <v>4</v>
      </c>
      <c r="G90">
        <f t="shared" si="51"/>
        <v>1</v>
      </c>
      <c r="H90" t="str">
        <f>IF(V90="","",IFERROR(VLOOKUP(TRIM($V90),KEY!$B$2:$E$58,3,FALSE),""))</f>
        <v>NorCal</v>
      </c>
      <c r="I90" t="str">
        <f t="shared" si="52"/>
        <v>WEST-13</v>
      </c>
      <c r="J90" t="str">
        <f t="shared" si="45"/>
        <v>Dec 2024-WEST-13</v>
      </c>
      <c r="K90">
        <f t="shared" si="53"/>
        <v>13</v>
      </c>
      <c r="L90">
        <f t="shared" si="54"/>
        <v>13.21</v>
      </c>
      <c r="M90">
        <f>IF(V90="","",IFERROR(VLOOKUP(TRIM($V90),KEY!$B$2:$E$58,4,FALSE),""))</f>
        <v>21</v>
      </c>
      <c r="N90">
        <f t="shared" si="55"/>
        <v>13</v>
      </c>
      <c r="O90" t="str">
        <f t="shared" si="56"/>
        <v>HO-4</v>
      </c>
      <c r="P90">
        <f t="shared" si="57"/>
        <v>4</v>
      </c>
      <c r="Q90">
        <f t="shared" si="58"/>
        <v>3.03</v>
      </c>
      <c r="R90">
        <f t="shared" si="59"/>
        <v>3</v>
      </c>
      <c r="S90">
        <f t="shared" si="60"/>
        <v>3</v>
      </c>
      <c r="T90" t="str">
        <f>IF(V90="","",IFERROR(VLOOKUP(TRIM($V90),KEY!$B$2:$E$58,2,FALSE),""))</f>
        <v>HO</v>
      </c>
      <c r="V90" s="64" t="s">
        <v>23</v>
      </c>
      <c r="W90" s="64">
        <v>19</v>
      </c>
      <c r="X90" s="64">
        <v>5</v>
      </c>
      <c r="Y90" s="64">
        <v>0.26315789473684209</v>
      </c>
      <c r="Z90" s="64">
        <v>0</v>
      </c>
      <c r="AA90" s="64">
        <v>5</v>
      </c>
      <c r="AB90" s="64">
        <v>0</v>
      </c>
      <c r="AC90" s="64">
        <v>1</v>
      </c>
      <c r="AD90" s="64">
        <v>6</v>
      </c>
      <c r="AE90" s="64">
        <v>0.31578947368421051</v>
      </c>
      <c r="AF90" s="64">
        <v>7</v>
      </c>
      <c r="AG90" s="64">
        <v>0</v>
      </c>
      <c r="AH90" s="64">
        <v>2</v>
      </c>
      <c r="AI90" s="64">
        <v>0.47368421052631576</v>
      </c>
      <c r="AJ90" s="64">
        <v>0</v>
      </c>
      <c r="AK90" s="64">
        <v>4</v>
      </c>
      <c r="AL90" s="64">
        <v>0</v>
      </c>
      <c r="AM90" s="64">
        <v>0.21052631578947367</v>
      </c>
    </row>
    <row r="91" spans="2:39" x14ac:dyDescent="0.2">
      <c r="B91" t="str">
        <f t="shared" si="46"/>
        <v>SoCal-2</v>
      </c>
      <c r="C91" t="str">
        <f t="shared" si="47"/>
        <v>Nov 2024-SoCal-2</v>
      </c>
      <c r="D91">
        <f t="shared" si="48"/>
        <v>2</v>
      </c>
      <c r="E91">
        <f t="shared" si="49"/>
        <v>2.0499999999999998</v>
      </c>
      <c r="F91">
        <f t="shared" si="50"/>
        <v>5</v>
      </c>
      <c r="G91">
        <f t="shared" si="51"/>
        <v>2</v>
      </c>
      <c r="H91" t="str">
        <f>IF(V91="","",IFERROR(VLOOKUP(TRIM($V91),KEY!$B$2:$E$58,3,FALSE),""))</f>
        <v>SoCal</v>
      </c>
      <c r="I91" t="str">
        <f t="shared" si="52"/>
        <v>WEST-11</v>
      </c>
      <c r="J91" t="str">
        <f t="shared" si="45"/>
        <v>Dec 2024-WEST-11</v>
      </c>
      <c r="K91">
        <f t="shared" si="53"/>
        <v>11</v>
      </c>
      <c r="L91">
        <f t="shared" si="54"/>
        <v>11.22</v>
      </c>
      <c r="M91">
        <f>IF(V91="","",IFERROR(VLOOKUP(TRIM($V91),KEY!$B$2:$E$58,4,FALSE),""))</f>
        <v>22</v>
      </c>
      <c r="N91">
        <f t="shared" si="55"/>
        <v>11</v>
      </c>
      <c r="O91" t="str">
        <f t="shared" si="56"/>
        <v>HO-3</v>
      </c>
      <c r="P91">
        <f t="shared" si="57"/>
        <v>3</v>
      </c>
      <c r="Q91">
        <f t="shared" si="58"/>
        <v>2.04</v>
      </c>
      <c r="R91">
        <f t="shared" si="59"/>
        <v>4</v>
      </c>
      <c r="S91">
        <f t="shared" si="60"/>
        <v>2</v>
      </c>
      <c r="T91" t="str">
        <f>IF(V91="","",IFERROR(VLOOKUP(TRIM($V91),KEY!$B$2:$E$58,2,FALSE),""))</f>
        <v>HO</v>
      </c>
      <c r="V91" s="64" t="s">
        <v>24</v>
      </c>
      <c r="W91" s="64">
        <v>22</v>
      </c>
      <c r="X91" s="64">
        <v>6</v>
      </c>
      <c r="Y91" s="64">
        <v>0.27272727272727271</v>
      </c>
      <c r="Z91" s="64">
        <v>0</v>
      </c>
      <c r="AA91" s="64">
        <v>6</v>
      </c>
      <c r="AB91" s="64">
        <v>1</v>
      </c>
      <c r="AC91" s="64">
        <v>0</v>
      </c>
      <c r="AD91" s="64">
        <v>7</v>
      </c>
      <c r="AE91" s="64">
        <v>0.31818181818181818</v>
      </c>
      <c r="AF91" s="64">
        <v>11</v>
      </c>
      <c r="AG91" s="64">
        <v>0</v>
      </c>
      <c r="AH91" s="64">
        <v>0</v>
      </c>
      <c r="AI91" s="64">
        <v>0.5</v>
      </c>
      <c r="AJ91" s="64">
        <v>0</v>
      </c>
      <c r="AK91" s="64">
        <v>4</v>
      </c>
      <c r="AL91" s="64">
        <v>0</v>
      </c>
      <c r="AM91" s="64">
        <v>0.18181818181818182</v>
      </c>
    </row>
    <row r="92" spans="2:39" x14ac:dyDescent="0.2">
      <c r="B92" t="str">
        <f t="shared" si="46"/>
        <v>TX-10</v>
      </c>
      <c r="C92" t="str">
        <f t="shared" si="47"/>
        <v>Nov 2024-TX-10</v>
      </c>
      <c r="D92">
        <f t="shared" si="48"/>
        <v>10</v>
      </c>
      <c r="E92">
        <f t="shared" si="49"/>
        <v>8.0399999999999991</v>
      </c>
      <c r="F92">
        <f t="shared" si="50"/>
        <v>4</v>
      </c>
      <c r="G92">
        <f t="shared" si="51"/>
        <v>8</v>
      </c>
      <c r="H92" t="str">
        <f>IF(V92="","",IFERROR(VLOOKUP(TRIM($V92),KEY!$B$2:$E$58,3,FALSE),""))</f>
        <v>TX</v>
      </c>
      <c r="I92" t="str">
        <f t="shared" si="52"/>
        <v>WEST-37</v>
      </c>
      <c r="J92" t="str">
        <f t="shared" si="45"/>
        <v>Dec 2024-WEST-37</v>
      </c>
      <c r="K92">
        <f t="shared" si="53"/>
        <v>37</v>
      </c>
      <c r="L92">
        <f t="shared" si="54"/>
        <v>32.229999999999997</v>
      </c>
      <c r="M92">
        <f>IF(V92="","",IFERROR(VLOOKUP(TRIM($V92),KEY!$B$2:$E$58,4,FALSE),""))</f>
        <v>23</v>
      </c>
      <c r="N92">
        <f t="shared" si="55"/>
        <v>32</v>
      </c>
      <c r="O92" t="str">
        <f t="shared" si="56"/>
        <v>HY-2</v>
      </c>
      <c r="P92">
        <f t="shared" si="57"/>
        <v>2</v>
      </c>
      <c r="Q92">
        <f t="shared" si="58"/>
        <v>2.0099999999999998</v>
      </c>
      <c r="R92">
        <f t="shared" si="59"/>
        <v>1</v>
      </c>
      <c r="S92">
        <f t="shared" si="60"/>
        <v>2</v>
      </c>
      <c r="T92" t="str">
        <f>IF(V92="","",IFERROR(VLOOKUP(TRIM($V92),KEY!$B$2:$E$58,2,FALSE),""))</f>
        <v>HY</v>
      </c>
      <c r="V92" s="64" t="s">
        <v>27</v>
      </c>
      <c r="W92" s="64">
        <v>2</v>
      </c>
      <c r="X92" s="64">
        <v>0</v>
      </c>
      <c r="Y92" s="64">
        <v>0</v>
      </c>
      <c r="Z92" s="64">
        <v>0</v>
      </c>
      <c r="AA92" s="64">
        <v>0</v>
      </c>
      <c r="AB92" s="64">
        <v>0</v>
      </c>
      <c r="AC92" s="64">
        <v>1</v>
      </c>
      <c r="AD92" s="64">
        <v>1</v>
      </c>
      <c r="AE92" s="64">
        <v>0.5</v>
      </c>
      <c r="AF92" s="64">
        <v>1</v>
      </c>
      <c r="AG92" s="64">
        <v>0</v>
      </c>
      <c r="AH92" s="64">
        <v>0</v>
      </c>
      <c r="AI92" s="64">
        <v>0.5</v>
      </c>
      <c r="AJ92" s="64">
        <v>0</v>
      </c>
      <c r="AK92" s="64">
        <v>0</v>
      </c>
      <c r="AL92" s="64">
        <v>0</v>
      </c>
      <c r="AM92" s="64">
        <v>0</v>
      </c>
    </row>
    <row r="93" spans="2:39" x14ac:dyDescent="0.2">
      <c r="B93" t="str">
        <f t="shared" si="46"/>
        <v>SoCal-1</v>
      </c>
      <c r="C93" t="str">
        <f t="shared" si="47"/>
        <v>Nov 2024-SoCal-1</v>
      </c>
      <c r="D93">
        <f t="shared" si="48"/>
        <v>1</v>
      </c>
      <c r="E93">
        <f t="shared" si="49"/>
        <v>1.06</v>
      </c>
      <c r="F93">
        <f t="shared" si="50"/>
        <v>6</v>
      </c>
      <c r="G93">
        <f t="shared" si="51"/>
        <v>1</v>
      </c>
      <c r="H93" t="str">
        <f>IF(V93="","",IFERROR(VLOOKUP(TRIM($V93),KEY!$B$2:$E$58,3,FALSE),""))</f>
        <v>SoCal</v>
      </c>
      <c r="I93" t="str">
        <f t="shared" si="52"/>
        <v>WEST-4</v>
      </c>
      <c r="J93" t="str">
        <f t="shared" si="45"/>
        <v>Dec 2024-WEST-4</v>
      </c>
      <c r="K93">
        <f t="shared" si="53"/>
        <v>4</v>
      </c>
      <c r="L93">
        <f t="shared" si="54"/>
        <v>4.24</v>
      </c>
      <c r="M93">
        <f>IF(V93="","",IFERROR(VLOOKUP(TRIM($V93),KEY!$B$2:$E$58,4,FALSE),""))</f>
        <v>24</v>
      </c>
      <c r="N93">
        <f t="shared" si="55"/>
        <v>4</v>
      </c>
      <c r="O93" t="str">
        <f t="shared" si="56"/>
        <v>AC-1</v>
      </c>
      <c r="P93">
        <f t="shared" si="57"/>
        <v>1</v>
      </c>
      <c r="Q93">
        <f t="shared" si="58"/>
        <v>1.04</v>
      </c>
      <c r="R93">
        <f t="shared" si="59"/>
        <v>4</v>
      </c>
      <c r="S93">
        <f t="shared" si="60"/>
        <v>1</v>
      </c>
      <c r="T93" t="str">
        <f>IF(V93="","",IFERROR(VLOOKUP(TRIM($V93),KEY!$B$2:$E$58,2,FALSE),""))</f>
        <v>AC</v>
      </c>
      <c r="V93" s="64" t="s">
        <v>73</v>
      </c>
      <c r="W93" s="64">
        <v>11</v>
      </c>
      <c r="X93" s="64">
        <v>4</v>
      </c>
      <c r="Y93" s="64">
        <v>0.36363636363636365</v>
      </c>
      <c r="Z93" s="64">
        <v>0</v>
      </c>
      <c r="AA93" s="64">
        <v>4</v>
      </c>
      <c r="AB93" s="64">
        <v>1</v>
      </c>
      <c r="AC93" s="64">
        <v>2</v>
      </c>
      <c r="AD93" s="64">
        <v>7</v>
      </c>
      <c r="AE93" s="64">
        <v>0.63636363636363635</v>
      </c>
      <c r="AF93" s="64">
        <v>0</v>
      </c>
      <c r="AG93" s="64">
        <v>0</v>
      </c>
      <c r="AH93" s="64">
        <v>0</v>
      </c>
      <c r="AI93" s="64">
        <v>0</v>
      </c>
      <c r="AJ93" s="64">
        <v>2</v>
      </c>
      <c r="AK93" s="64">
        <v>2</v>
      </c>
      <c r="AL93" s="64">
        <v>0</v>
      </c>
      <c r="AM93" s="64">
        <v>0.36363636363636365</v>
      </c>
    </row>
    <row r="94" spans="2:39" x14ac:dyDescent="0.2">
      <c r="B94" t="str">
        <f t="shared" si="46"/>
        <v>SoCal-8</v>
      </c>
      <c r="C94" t="str">
        <f t="shared" si="47"/>
        <v>Nov 2024-SoCal-8</v>
      </c>
      <c r="D94">
        <f t="shared" si="48"/>
        <v>8</v>
      </c>
      <c r="E94">
        <f t="shared" si="49"/>
        <v>7.07</v>
      </c>
      <c r="F94">
        <f t="shared" si="50"/>
        <v>7</v>
      </c>
      <c r="G94">
        <f t="shared" si="51"/>
        <v>7</v>
      </c>
      <c r="H94" t="str">
        <f>IF(V94="","",IFERROR(VLOOKUP(TRIM($V94),KEY!$B$2:$E$58,3,FALSE),""))</f>
        <v>SoCal</v>
      </c>
      <c r="I94" t="str">
        <f t="shared" si="52"/>
        <v>WEST-29</v>
      </c>
      <c r="J94" t="str">
        <f t="shared" si="45"/>
        <v>Dec 2024-WEST-29</v>
      </c>
      <c r="K94">
        <f t="shared" si="53"/>
        <v>29</v>
      </c>
      <c r="L94">
        <f t="shared" si="54"/>
        <v>28.25</v>
      </c>
      <c r="M94">
        <f>IF(V94="","",IFERROR(VLOOKUP(TRIM($V94),KEY!$B$2:$E$58,4,FALSE),""))</f>
        <v>25</v>
      </c>
      <c r="N94">
        <f t="shared" si="55"/>
        <v>28</v>
      </c>
      <c r="O94" t="str">
        <f t="shared" si="56"/>
        <v>TO-3</v>
      </c>
      <c r="P94">
        <f t="shared" si="57"/>
        <v>3</v>
      </c>
      <c r="Q94">
        <f t="shared" si="58"/>
        <v>3.01</v>
      </c>
      <c r="R94">
        <f t="shared" si="59"/>
        <v>1</v>
      </c>
      <c r="S94">
        <f t="shared" si="60"/>
        <v>3</v>
      </c>
      <c r="T94" t="str">
        <f>IF(V94="","",IFERROR(VLOOKUP(TRIM($V94),KEY!$B$2:$E$58,2,FALSE),""))</f>
        <v>TO</v>
      </c>
      <c r="V94" s="64" t="s">
        <v>49</v>
      </c>
      <c r="W94" s="64">
        <v>16</v>
      </c>
      <c r="X94" s="64">
        <v>1</v>
      </c>
      <c r="Y94" s="64">
        <v>6.25E-2</v>
      </c>
      <c r="Z94" s="64">
        <v>0</v>
      </c>
      <c r="AA94" s="64">
        <v>1</v>
      </c>
      <c r="AB94" s="64">
        <v>5</v>
      </c>
      <c r="AC94" s="64">
        <v>2</v>
      </c>
      <c r="AD94" s="64">
        <v>8</v>
      </c>
      <c r="AE94" s="64">
        <v>0.5</v>
      </c>
      <c r="AF94" s="64">
        <v>3</v>
      </c>
      <c r="AG94" s="64">
        <v>0</v>
      </c>
      <c r="AH94" s="64">
        <v>3</v>
      </c>
      <c r="AI94" s="64">
        <v>0.375</v>
      </c>
      <c r="AJ94" s="64">
        <v>0</v>
      </c>
      <c r="AK94" s="64">
        <v>2</v>
      </c>
      <c r="AL94" s="64">
        <v>0</v>
      </c>
      <c r="AM94" s="64">
        <v>0.125</v>
      </c>
    </row>
    <row r="95" spans="2:39" x14ac:dyDescent="0.2">
      <c r="B95" t="str">
        <f t="shared" si="46"/>
        <v>AZ-3</v>
      </c>
      <c r="C95" t="str">
        <f t="shared" si="47"/>
        <v>Nov 2024-AZ-3</v>
      </c>
      <c r="D95">
        <f t="shared" si="48"/>
        <v>3</v>
      </c>
      <c r="E95">
        <f t="shared" si="49"/>
        <v>1.06</v>
      </c>
      <c r="F95">
        <f t="shared" si="50"/>
        <v>6</v>
      </c>
      <c r="G95">
        <f t="shared" si="51"/>
        <v>1</v>
      </c>
      <c r="H95" t="str">
        <f>IF(V95="","",IFERROR(VLOOKUP(TRIM($V95),KEY!$B$2:$E$58,3,FALSE),""))</f>
        <v>AZ</v>
      </c>
      <c r="I95" t="str">
        <f t="shared" si="52"/>
        <v>WEST--</v>
      </c>
      <c r="J95" t="str">
        <f t="shared" si="45"/>
        <v>Dec 2024-WEST--</v>
      </c>
      <c r="K95" t="str">
        <f t="shared" si="53"/>
        <v>-</v>
      </c>
      <c r="L95" t="str">
        <f t="shared" si="54"/>
        <v>-</v>
      </c>
      <c r="M95">
        <f>IF(V95="","",IFERROR(VLOOKUP(TRIM($V95),KEY!$B$2:$E$58,4,FALSE),""))</f>
        <v>26</v>
      </c>
      <c r="N95" t="str">
        <f t="shared" si="55"/>
        <v>-</v>
      </c>
      <c r="O95" t="str">
        <f t="shared" si="56"/>
        <v>LA-1</v>
      </c>
      <c r="P95">
        <f t="shared" si="57"/>
        <v>1</v>
      </c>
      <c r="Q95">
        <f t="shared" si="58"/>
        <v>1.01</v>
      </c>
      <c r="R95">
        <f t="shared" si="59"/>
        <v>1</v>
      </c>
      <c r="S95">
        <f t="shared" si="60"/>
        <v>1</v>
      </c>
      <c r="T95" t="str">
        <f>IF(V95="","",IFERROR(VLOOKUP(TRIM($V95),KEY!$B$2:$E$58,2,FALSE),""))</f>
        <v>LA</v>
      </c>
      <c r="V95" s="64" t="s">
        <v>278</v>
      </c>
      <c r="W95" s="64">
        <v>0</v>
      </c>
      <c r="X95" s="64">
        <v>0</v>
      </c>
      <c r="Y95" s="64" t="s">
        <v>274</v>
      </c>
      <c r="Z95" s="64">
        <v>0</v>
      </c>
      <c r="AA95" s="64">
        <v>0</v>
      </c>
      <c r="AB95" s="64">
        <v>0</v>
      </c>
      <c r="AC95" s="64">
        <v>0</v>
      </c>
      <c r="AD95" s="64">
        <v>0</v>
      </c>
      <c r="AE95" s="64" t="s">
        <v>274</v>
      </c>
      <c r="AF95" s="64">
        <v>0</v>
      </c>
      <c r="AG95" s="64">
        <v>0</v>
      </c>
      <c r="AH95" s="64">
        <v>0</v>
      </c>
      <c r="AI95" s="64" t="s">
        <v>274</v>
      </c>
      <c r="AJ95" s="64">
        <v>0</v>
      </c>
      <c r="AK95" s="64">
        <v>0</v>
      </c>
      <c r="AL95" s="64">
        <v>0</v>
      </c>
      <c r="AM95" s="64" t="s">
        <v>274</v>
      </c>
    </row>
    <row r="96" spans="2:39" x14ac:dyDescent="0.2">
      <c r="B96" t="str">
        <f t="shared" si="46"/>
        <v>AZ-12</v>
      </c>
      <c r="C96" t="str">
        <f t="shared" si="47"/>
        <v>Nov 2024-AZ-12</v>
      </c>
      <c r="D96">
        <f t="shared" si="48"/>
        <v>12</v>
      </c>
      <c r="E96">
        <f t="shared" si="49"/>
        <v>8.07</v>
      </c>
      <c r="F96">
        <f t="shared" si="50"/>
        <v>7</v>
      </c>
      <c r="G96">
        <f t="shared" si="51"/>
        <v>8</v>
      </c>
      <c r="H96" t="str">
        <f>IF(V96="","",IFERROR(VLOOKUP(TRIM($V96),KEY!$B$2:$E$58,3,FALSE),""))</f>
        <v>AZ</v>
      </c>
      <c r="I96" t="str">
        <f t="shared" si="52"/>
        <v>WEST-38</v>
      </c>
      <c r="J96" t="str">
        <f t="shared" si="45"/>
        <v>Dec 2024-WEST-38</v>
      </c>
      <c r="K96">
        <f t="shared" si="53"/>
        <v>38</v>
      </c>
      <c r="L96">
        <f t="shared" si="54"/>
        <v>32.270000000000003</v>
      </c>
      <c r="M96">
        <f>IF(V96="","",IFERROR(VLOOKUP(TRIM($V96),KEY!$B$2:$E$58,4,FALSE),""))</f>
        <v>27</v>
      </c>
      <c r="N96">
        <f t="shared" si="55"/>
        <v>32</v>
      </c>
      <c r="O96" t="str">
        <f t="shared" si="56"/>
        <v>JA-2</v>
      </c>
      <c r="P96">
        <f t="shared" si="57"/>
        <v>2</v>
      </c>
      <c r="Q96">
        <f t="shared" si="58"/>
        <v>2.0099999999999998</v>
      </c>
      <c r="R96">
        <f t="shared" si="59"/>
        <v>1</v>
      </c>
      <c r="S96">
        <f t="shared" si="60"/>
        <v>2</v>
      </c>
      <c r="T96" t="str">
        <f>IF(V96="","",IFERROR(VLOOKUP(TRIM($V96),KEY!$B$2:$E$58,2,FALSE),""))</f>
        <v>JA</v>
      </c>
      <c r="V96" s="64" t="s">
        <v>261</v>
      </c>
      <c r="W96" s="64">
        <v>1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1</v>
      </c>
      <c r="AG96" s="64">
        <v>0</v>
      </c>
      <c r="AH96" s="64">
        <v>0</v>
      </c>
      <c r="AI96" s="64">
        <v>1</v>
      </c>
      <c r="AJ96" s="64">
        <v>0</v>
      </c>
      <c r="AK96" s="64">
        <v>0</v>
      </c>
      <c r="AL96" s="64">
        <v>0</v>
      </c>
      <c r="AM96" s="64">
        <v>0</v>
      </c>
    </row>
    <row r="97" spans="2:39" x14ac:dyDescent="0.2">
      <c r="B97" t="str">
        <f t="shared" si="46"/>
        <v>AZ-4</v>
      </c>
      <c r="C97" t="str">
        <f t="shared" si="47"/>
        <v>Nov 2024-AZ-4</v>
      </c>
      <c r="D97">
        <f t="shared" si="48"/>
        <v>4</v>
      </c>
      <c r="E97">
        <f t="shared" si="49"/>
        <v>1.08</v>
      </c>
      <c r="F97">
        <f t="shared" si="50"/>
        <v>8</v>
      </c>
      <c r="G97">
        <f t="shared" si="51"/>
        <v>1</v>
      </c>
      <c r="H97" t="str">
        <f>IF(V97="","",IFERROR(VLOOKUP(TRIM($V97),KEY!$B$2:$E$58,3,FALSE),""))</f>
        <v>AZ</v>
      </c>
      <c r="I97" t="str">
        <f t="shared" si="52"/>
        <v>WEST-7</v>
      </c>
      <c r="J97" t="str">
        <f t="shared" si="45"/>
        <v>Dec 2024-WEST-7</v>
      </c>
      <c r="K97">
        <f t="shared" si="53"/>
        <v>7</v>
      </c>
      <c r="L97">
        <f t="shared" si="54"/>
        <v>6.28</v>
      </c>
      <c r="M97">
        <f>IF(V97="","",IFERROR(VLOOKUP(TRIM($V97),KEY!$B$2:$E$58,4,FALSE),""))</f>
        <v>28</v>
      </c>
      <c r="N97">
        <f t="shared" si="55"/>
        <v>6</v>
      </c>
      <c r="O97" t="str">
        <f t="shared" si="56"/>
        <v>JA-1</v>
      </c>
      <c r="P97">
        <f t="shared" si="57"/>
        <v>1</v>
      </c>
      <c r="Q97">
        <f t="shared" si="58"/>
        <v>1.02</v>
      </c>
      <c r="R97">
        <f t="shared" si="59"/>
        <v>2</v>
      </c>
      <c r="S97">
        <f t="shared" si="60"/>
        <v>1</v>
      </c>
      <c r="T97" t="str">
        <f>IF(V97="","",IFERROR(VLOOKUP(TRIM($V97),KEY!$B$2:$E$58,2,FALSE),""))</f>
        <v>JA</v>
      </c>
      <c r="V97" s="64" t="s">
        <v>260</v>
      </c>
      <c r="W97" s="64">
        <v>3</v>
      </c>
      <c r="X97" s="64">
        <v>1</v>
      </c>
      <c r="Y97" s="64">
        <v>0.33333333333333331</v>
      </c>
      <c r="Z97" s="64">
        <v>0</v>
      </c>
      <c r="AA97" s="64">
        <v>1</v>
      </c>
      <c r="AB97" s="64">
        <v>1</v>
      </c>
      <c r="AC97" s="64">
        <v>0</v>
      </c>
      <c r="AD97" s="64">
        <v>2</v>
      </c>
      <c r="AE97" s="64">
        <v>0.66666666666666663</v>
      </c>
      <c r="AF97" s="64">
        <v>0</v>
      </c>
      <c r="AG97" s="64">
        <v>0</v>
      </c>
      <c r="AH97" s="64">
        <v>1</v>
      </c>
      <c r="AI97" s="64">
        <v>0.33333333333333331</v>
      </c>
      <c r="AJ97" s="64">
        <v>0</v>
      </c>
      <c r="AK97" s="64">
        <v>0</v>
      </c>
      <c r="AL97" s="64">
        <v>0</v>
      </c>
      <c r="AM97" s="64">
        <v>0</v>
      </c>
    </row>
    <row r="98" spans="2:39" x14ac:dyDescent="0.2">
      <c r="B98" t="str">
        <f t="shared" si="46"/>
        <v>TX-3</v>
      </c>
      <c r="C98" t="str">
        <f t="shared" si="47"/>
        <v>Nov 2024-TX-3</v>
      </c>
      <c r="D98">
        <f t="shared" si="48"/>
        <v>3</v>
      </c>
      <c r="E98">
        <f t="shared" si="49"/>
        <v>1.05</v>
      </c>
      <c r="F98">
        <f t="shared" si="50"/>
        <v>5</v>
      </c>
      <c r="G98">
        <f t="shared" si="51"/>
        <v>1</v>
      </c>
      <c r="H98" t="str">
        <f>IF(V98="","",IFERROR(VLOOKUP(TRIM($V98),KEY!$B$2:$E$58,3,FALSE),""))</f>
        <v>TX</v>
      </c>
      <c r="I98" t="str">
        <f t="shared" si="52"/>
        <v>WEST-1</v>
      </c>
      <c r="J98" t="str">
        <f t="shared" si="45"/>
        <v>Dec 2024-WEST-1</v>
      </c>
      <c r="K98">
        <f t="shared" si="53"/>
        <v>1</v>
      </c>
      <c r="L98">
        <f t="shared" si="54"/>
        <v>1.29</v>
      </c>
      <c r="M98">
        <f>IF(V98="","",IFERROR(VLOOKUP(TRIM($V98),KEY!$B$2:$E$58,4,FALSE),""))</f>
        <v>29</v>
      </c>
      <c r="N98">
        <f t="shared" si="55"/>
        <v>1</v>
      </c>
      <c r="O98" t="str">
        <f t="shared" si="56"/>
        <v>LE-1</v>
      </c>
      <c r="P98">
        <f t="shared" si="57"/>
        <v>1</v>
      </c>
      <c r="Q98">
        <f t="shared" si="58"/>
        <v>1.01</v>
      </c>
      <c r="R98">
        <f t="shared" si="59"/>
        <v>1</v>
      </c>
      <c r="S98">
        <f t="shared" si="60"/>
        <v>1</v>
      </c>
      <c r="T98" t="str">
        <f>IF(V98="","",IFERROR(VLOOKUP(TRIM($V98),KEY!$B$2:$E$58,2,FALSE),""))</f>
        <v>LE</v>
      </c>
      <c r="V98" s="64" t="s">
        <v>29</v>
      </c>
      <c r="W98" s="64">
        <v>14</v>
      </c>
      <c r="X98" s="64">
        <v>7</v>
      </c>
      <c r="Y98" s="64">
        <v>0.5</v>
      </c>
      <c r="Z98" s="64">
        <v>0</v>
      </c>
      <c r="AA98" s="64">
        <v>7</v>
      </c>
      <c r="AB98" s="64">
        <v>2</v>
      </c>
      <c r="AC98" s="64">
        <v>3</v>
      </c>
      <c r="AD98" s="64">
        <v>12</v>
      </c>
      <c r="AE98" s="64">
        <v>0.8571428571428571</v>
      </c>
      <c r="AF98" s="64">
        <v>2</v>
      </c>
      <c r="AG98" s="64">
        <v>0</v>
      </c>
      <c r="AH98" s="64">
        <v>0</v>
      </c>
      <c r="AI98" s="64">
        <v>0.14285714285714285</v>
      </c>
      <c r="AJ98" s="64">
        <v>0</v>
      </c>
      <c r="AK98" s="64">
        <v>0</v>
      </c>
      <c r="AL98" s="64">
        <v>0</v>
      </c>
      <c r="AM98" s="64">
        <v>0</v>
      </c>
    </row>
    <row r="99" spans="2:39" x14ac:dyDescent="0.2">
      <c r="B99" t="str">
        <f t="shared" si="46"/>
        <v>AZ-5</v>
      </c>
      <c r="C99" t="str">
        <f t="shared" si="47"/>
        <v>Nov 2024-AZ-5</v>
      </c>
      <c r="D99">
        <f t="shared" si="48"/>
        <v>5</v>
      </c>
      <c r="E99">
        <f t="shared" si="49"/>
        <v>1.0900000000000001</v>
      </c>
      <c r="F99">
        <f t="shared" si="50"/>
        <v>9</v>
      </c>
      <c r="G99">
        <f t="shared" si="51"/>
        <v>1</v>
      </c>
      <c r="H99" t="str">
        <f>IF(V99="","",IFERROR(VLOOKUP(TRIM($V99),KEY!$B$2:$E$58,3,FALSE),""))</f>
        <v>AZ</v>
      </c>
      <c r="I99" t="str">
        <f t="shared" si="52"/>
        <v>WEST--</v>
      </c>
      <c r="J99" t="str">
        <f t="shared" si="45"/>
        <v>Dec 2024-WEST--</v>
      </c>
      <c r="K99" t="str">
        <f t="shared" si="53"/>
        <v>-</v>
      </c>
      <c r="L99" t="str">
        <f t="shared" si="54"/>
        <v>-</v>
      </c>
      <c r="M99">
        <f>IF(V99="","",IFERROR(VLOOKUP(TRIM($V99),KEY!$B$2:$E$58,4,FALSE),""))</f>
        <v>30</v>
      </c>
      <c r="N99" t="str">
        <f t="shared" si="55"/>
        <v>-</v>
      </c>
      <c r="O99" t="str">
        <f t="shared" si="56"/>
        <v>LE-2</v>
      </c>
      <c r="P99">
        <f t="shared" si="57"/>
        <v>2</v>
      </c>
      <c r="Q99">
        <f t="shared" si="58"/>
        <v>1.02</v>
      </c>
      <c r="R99">
        <f t="shared" si="59"/>
        <v>2</v>
      </c>
      <c r="S99">
        <f t="shared" si="60"/>
        <v>1</v>
      </c>
      <c r="T99" t="str">
        <f>IF(V99="","",IFERROR(VLOOKUP(TRIM($V99),KEY!$B$2:$E$58,2,FALSE),""))</f>
        <v>LE</v>
      </c>
      <c r="V99" s="64" t="s">
        <v>30</v>
      </c>
      <c r="W99" s="64">
        <v>0</v>
      </c>
      <c r="X99" s="64">
        <v>0</v>
      </c>
      <c r="Y99" s="64" t="s">
        <v>274</v>
      </c>
      <c r="Z99" s="64">
        <v>0</v>
      </c>
      <c r="AA99" s="64">
        <v>0</v>
      </c>
      <c r="AB99" s="64">
        <v>0</v>
      </c>
      <c r="AC99" s="64">
        <v>0</v>
      </c>
      <c r="AD99" s="64">
        <v>0</v>
      </c>
      <c r="AE99" s="64" t="s">
        <v>274</v>
      </c>
      <c r="AF99" s="64">
        <v>0</v>
      </c>
      <c r="AG99" s="64">
        <v>0</v>
      </c>
      <c r="AH99" s="64">
        <v>0</v>
      </c>
      <c r="AI99" s="64" t="s">
        <v>274</v>
      </c>
      <c r="AJ99" s="64">
        <v>0</v>
      </c>
      <c r="AK99" s="64">
        <v>0</v>
      </c>
      <c r="AL99" s="64">
        <v>0</v>
      </c>
      <c r="AM99" s="64" t="s">
        <v>274</v>
      </c>
    </row>
    <row r="100" spans="2:39" x14ac:dyDescent="0.2">
      <c r="B100" t="str">
        <f t="shared" si="46"/>
        <v>TX-8</v>
      </c>
      <c r="C100" t="str">
        <f t="shared" si="47"/>
        <v>Nov 2024-TX-8</v>
      </c>
      <c r="D100">
        <f t="shared" si="48"/>
        <v>8</v>
      </c>
      <c r="E100">
        <f t="shared" si="49"/>
        <v>6.06</v>
      </c>
      <c r="F100">
        <f t="shared" si="50"/>
        <v>6</v>
      </c>
      <c r="G100">
        <f t="shared" si="51"/>
        <v>6</v>
      </c>
      <c r="H100" t="str">
        <f>IF(V100="","",IFERROR(VLOOKUP(TRIM($V100),KEY!$B$2:$E$58,3,FALSE),""))</f>
        <v>TX</v>
      </c>
      <c r="I100" t="str">
        <f t="shared" si="52"/>
        <v>WEST-23</v>
      </c>
      <c r="J100" t="str">
        <f t="shared" si="45"/>
        <v>Dec 2024-WEST-23</v>
      </c>
      <c r="K100">
        <f t="shared" si="53"/>
        <v>23</v>
      </c>
      <c r="L100">
        <f t="shared" si="54"/>
        <v>23.31</v>
      </c>
      <c r="M100">
        <f>IF(V100="","",IFERROR(VLOOKUP(TRIM($V100),KEY!$B$2:$E$58,4,FALSE),""))</f>
        <v>31</v>
      </c>
      <c r="N100">
        <f t="shared" si="55"/>
        <v>23</v>
      </c>
      <c r="O100" t="str">
        <f t="shared" si="56"/>
        <v>LE-4</v>
      </c>
      <c r="P100">
        <f t="shared" si="57"/>
        <v>4</v>
      </c>
      <c r="Q100">
        <f t="shared" si="58"/>
        <v>3.03</v>
      </c>
      <c r="R100">
        <f t="shared" si="59"/>
        <v>3</v>
      </c>
      <c r="S100">
        <f t="shared" si="60"/>
        <v>3</v>
      </c>
      <c r="T100" t="str">
        <f>IF(V100="","",IFERROR(VLOOKUP(TRIM($V100),KEY!$B$2:$E$58,2,FALSE),""))</f>
        <v>LE</v>
      </c>
      <c r="V100" s="64" t="s">
        <v>31</v>
      </c>
      <c r="W100" s="64">
        <v>14</v>
      </c>
      <c r="X100" s="64">
        <v>2</v>
      </c>
      <c r="Y100" s="64">
        <v>0.14285714285714285</v>
      </c>
      <c r="Z100" s="64">
        <v>1</v>
      </c>
      <c r="AA100" s="64">
        <v>2</v>
      </c>
      <c r="AB100" s="64">
        <v>0</v>
      </c>
      <c r="AC100" s="64">
        <v>0</v>
      </c>
      <c r="AD100" s="64">
        <v>3</v>
      </c>
      <c r="AE100" s="64">
        <v>0.21428571428571427</v>
      </c>
      <c r="AF100" s="64">
        <v>6</v>
      </c>
      <c r="AG100" s="64">
        <v>0</v>
      </c>
      <c r="AH100" s="64">
        <v>4</v>
      </c>
      <c r="AI100" s="64">
        <v>0.7142857142857143</v>
      </c>
      <c r="AJ100" s="64">
        <v>0</v>
      </c>
      <c r="AK100" s="64">
        <v>1</v>
      </c>
      <c r="AL100" s="64">
        <v>0</v>
      </c>
      <c r="AM100" s="64">
        <v>7.1428571428571425E-2</v>
      </c>
    </row>
    <row r="101" spans="2:39" x14ac:dyDescent="0.2">
      <c r="B101" t="str">
        <f t="shared" si="46"/>
        <v>SoCal-5</v>
      </c>
      <c r="C101" t="str">
        <f t="shared" si="47"/>
        <v>Nov 2024-SoCal-5</v>
      </c>
      <c r="D101">
        <f t="shared" si="48"/>
        <v>5</v>
      </c>
      <c r="E101">
        <f t="shared" si="49"/>
        <v>5.08</v>
      </c>
      <c r="F101">
        <f t="shared" si="50"/>
        <v>8</v>
      </c>
      <c r="G101">
        <f t="shared" si="51"/>
        <v>5</v>
      </c>
      <c r="H101" t="str">
        <f>IF(V101="","",IFERROR(VLOOKUP(TRIM($V101),KEY!$B$2:$E$58,3,FALSE),""))</f>
        <v>SoCal</v>
      </c>
      <c r="I101" t="str">
        <f t="shared" si="52"/>
        <v>WEST-20</v>
      </c>
      <c r="J101" t="str">
        <f t="shared" si="45"/>
        <v>Dec 2024-WEST-20</v>
      </c>
      <c r="K101">
        <f t="shared" si="53"/>
        <v>20</v>
      </c>
      <c r="L101">
        <f t="shared" si="54"/>
        <v>20.32</v>
      </c>
      <c r="M101">
        <f>IF(V101="","",IFERROR(VLOOKUP(TRIM($V101),KEY!$B$2:$E$58,4,FALSE),""))</f>
        <v>32</v>
      </c>
      <c r="N101">
        <f t="shared" si="55"/>
        <v>20</v>
      </c>
      <c r="O101" t="str">
        <f t="shared" si="56"/>
        <v>LE-3</v>
      </c>
      <c r="P101">
        <f t="shared" si="57"/>
        <v>3</v>
      </c>
      <c r="Q101">
        <f t="shared" si="58"/>
        <v>2.04</v>
      </c>
      <c r="R101">
        <f t="shared" si="59"/>
        <v>4</v>
      </c>
      <c r="S101">
        <f t="shared" si="60"/>
        <v>2</v>
      </c>
      <c r="T101" t="str">
        <f>IF(V101="","",IFERROR(VLOOKUP(TRIM($V101),KEY!$B$2:$E$58,2,FALSE),""))</f>
        <v>LE</v>
      </c>
      <c r="V101" s="64" t="s">
        <v>32</v>
      </c>
      <c r="W101" s="64">
        <v>24</v>
      </c>
      <c r="X101" s="64">
        <v>4</v>
      </c>
      <c r="Y101" s="64">
        <v>0.16666666666666666</v>
      </c>
      <c r="Z101" s="64">
        <v>1</v>
      </c>
      <c r="AA101" s="64">
        <v>4</v>
      </c>
      <c r="AB101" s="64">
        <v>2</v>
      </c>
      <c r="AC101" s="64">
        <v>4</v>
      </c>
      <c r="AD101" s="64">
        <v>11</v>
      </c>
      <c r="AE101" s="64">
        <v>0.45833333333333331</v>
      </c>
      <c r="AF101" s="64">
        <v>6</v>
      </c>
      <c r="AG101" s="64">
        <v>0</v>
      </c>
      <c r="AH101" s="64">
        <v>7</v>
      </c>
      <c r="AI101" s="64">
        <v>0.54166666666666663</v>
      </c>
      <c r="AJ101" s="64">
        <v>0</v>
      </c>
      <c r="AK101" s="64">
        <v>0</v>
      </c>
      <c r="AL101" s="64">
        <v>0</v>
      </c>
      <c r="AM101" s="64">
        <v>0</v>
      </c>
    </row>
    <row r="102" spans="2:39" x14ac:dyDescent="0.2">
      <c r="B102" t="str">
        <f t="shared" si="46"/>
        <v>OC-8</v>
      </c>
      <c r="C102" t="str">
        <f t="shared" si="47"/>
        <v>Nov 2024-OC-8</v>
      </c>
      <c r="D102">
        <f t="shared" si="48"/>
        <v>8</v>
      </c>
      <c r="E102">
        <f t="shared" si="49"/>
        <v>6.06</v>
      </c>
      <c r="F102">
        <f t="shared" si="50"/>
        <v>6</v>
      </c>
      <c r="G102">
        <f t="shared" si="51"/>
        <v>6</v>
      </c>
      <c r="H102" t="str">
        <f>IF(V102="","",IFERROR(VLOOKUP(TRIM($V102),KEY!$B$2:$E$58,3,FALSE),""))</f>
        <v>OC</v>
      </c>
      <c r="I102" t="str">
        <f t="shared" si="52"/>
        <v>WEST-39</v>
      </c>
      <c r="J102" t="str">
        <f t="shared" ref="J102:J125" si="61">IF(V102="","",$X$1&amp;"-"&amp;I102)</f>
        <v>Dec 2024-WEST-39</v>
      </c>
      <c r="K102">
        <f t="shared" si="53"/>
        <v>39</v>
      </c>
      <c r="L102">
        <f t="shared" si="54"/>
        <v>32.33</v>
      </c>
      <c r="M102">
        <f>IF(V102="","",IFERROR(VLOOKUP(TRIM($V102),KEY!$B$2:$E$58,4,FALSE),""))</f>
        <v>33</v>
      </c>
      <c r="N102">
        <f t="shared" si="55"/>
        <v>32</v>
      </c>
      <c r="O102" t="str">
        <f t="shared" si="56"/>
        <v>LI-1</v>
      </c>
      <c r="P102">
        <f t="shared" si="57"/>
        <v>1</v>
      </c>
      <c r="Q102">
        <f t="shared" si="58"/>
        <v>1.01</v>
      </c>
      <c r="R102">
        <f t="shared" si="59"/>
        <v>1</v>
      </c>
      <c r="S102">
        <f t="shared" si="60"/>
        <v>1</v>
      </c>
      <c r="T102" t="str">
        <f>IF(V102="","",IFERROR(VLOOKUP(TRIM($V102),KEY!$B$2:$E$58,2,FALSE),""))</f>
        <v>LI</v>
      </c>
      <c r="V102" s="64" t="s">
        <v>33</v>
      </c>
      <c r="W102" s="64">
        <v>4</v>
      </c>
      <c r="X102" s="64">
        <v>0</v>
      </c>
      <c r="Y102" s="64">
        <v>0</v>
      </c>
      <c r="Z102" s="64">
        <v>0</v>
      </c>
      <c r="AA102" s="64">
        <v>0</v>
      </c>
      <c r="AB102" s="64">
        <v>0</v>
      </c>
      <c r="AC102" s="64">
        <v>0</v>
      </c>
      <c r="AD102" s="64">
        <v>0</v>
      </c>
      <c r="AE102" s="64">
        <v>0</v>
      </c>
      <c r="AF102" s="64">
        <v>4</v>
      </c>
      <c r="AG102" s="64">
        <v>0</v>
      </c>
      <c r="AH102" s="64">
        <v>0</v>
      </c>
      <c r="AI102" s="64">
        <v>1</v>
      </c>
      <c r="AJ102" s="64">
        <v>0</v>
      </c>
      <c r="AK102" s="64">
        <v>0</v>
      </c>
      <c r="AL102" s="64">
        <v>0</v>
      </c>
      <c r="AM102" s="64">
        <v>0</v>
      </c>
    </row>
    <row r="103" spans="2:39" x14ac:dyDescent="0.2">
      <c r="B103" t="str">
        <f t="shared" si="46"/>
        <v>SoCal-3</v>
      </c>
      <c r="C103" t="str">
        <f t="shared" si="47"/>
        <v>Nov 2024-SoCal-3</v>
      </c>
      <c r="D103">
        <f t="shared" si="48"/>
        <v>3</v>
      </c>
      <c r="E103">
        <f t="shared" si="49"/>
        <v>3.09</v>
      </c>
      <c r="F103">
        <f t="shared" si="50"/>
        <v>9</v>
      </c>
      <c r="G103">
        <f t="shared" si="51"/>
        <v>3</v>
      </c>
      <c r="H103" t="str">
        <f>IF(V103="","",IFERROR(VLOOKUP(TRIM($V103),KEY!$B$2:$E$58,3,FALSE),""))</f>
        <v>SoCal</v>
      </c>
      <c r="I103" t="str">
        <f t="shared" si="52"/>
        <v>WEST-17</v>
      </c>
      <c r="J103" t="str">
        <f t="shared" si="61"/>
        <v>Dec 2024-WEST-17</v>
      </c>
      <c r="K103">
        <f t="shared" si="53"/>
        <v>17</v>
      </c>
      <c r="L103">
        <f t="shared" si="54"/>
        <v>17.34</v>
      </c>
      <c r="M103">
        <f>IF(V103="","",IFERROR(VLOOKUP(TRIM($V103),KEY!$B$2:$E$58,4,FALSE),""))</f>
        <v>34</v>
      </c>
      <c r="N103">
        <f t="shared" si="55"/>
        <v>17</v>
      </c>
      <c r="O103" t="str">
        <f t="shared" si="56"/>
        <v>MA-1</v>
      </c>
      <c r="P103">
        <f t="shared" si="57"/>
        <v>1</v>
      </c>
      <c r="Q103">
        <f t="shared" si="58"/>
        <v>1.01</v>
      </c>
      <c r="R103">
        <f t="shared" si="59"/>
        <v>1</v>
      </c>
      <c r="S103">
        <f t="shared" si="60"/>
        <v>1</v>
      </c>
      <c r="T103" t="str">
        <f>IF(V103="","",IFERROR(VLOOKUP(TRIM($V103),KEY!$B$2:$E$58,2,FALSE),""))</f>
        <v>MA</v>
      </c>
      <c r="V103" s="64" t="s">
        <v>34</v>
      </c>
      <c r="W103" s="64">
        <v>5</v>
      </c>
      <c r="X103" s="64">
        <v>1</v>
      </c>
      <c r="Y103" s="64">
        <v>0.2</v>
      </c>
      <c r="Z103" s="64">
        <v>0</v>
      </c>
      <c r="AA103" s="64">
        <v>1</v>
      </c>
      <c r="AB103" s="64">
        <v>0</v>
      </c>
      <c r="AC103" s="64">
        <v>1</v>
      </c>
      <c r="AD103" s="64">
        <v>2</v>
      </c>
      <c r="AE103" s="64">
        <v>0.4</v>
      </c>
      <c r="AF103" s="64">
        <v>1</v>
      </c>
      <c r="AG103" s="64">
        <v>0</v>
      </c>
      <c r="AH103" s="64">
        <v>0</v>
      </c>
      <c r="AI103" s="64">
        <v>0.2</v>
      </c>
      <c r="AJ103" s="64">
        <v>0</v>
      </c>
      <c r="AK103" s="64">
        <v>2</v>
      </c>
      <c r="AL103" s="64">
        <v>0</v>
      </c>
      <c r="AM103" s="64">
        <v>0.4</v>
      </c>
    </row>
    <row r="104" spans="2:39" x14ac:dyDescent="0.2">
      <c r="B104" t="str">
        <f t="shared" si="46"/>
        <v>AZ-8</v>
      </c>
      <c r="C104" t="str">
        <f t="shared" si="47"/>
        <v>Nov 2024-AZ-8</v>
      </c>
      <c r="D104">
        <f t="shared" si="48"/>
        <v>8</v>
      </c>
      <c r="E104">
        <f t="shared" si="49"/>
        <v>4.0999999999999996</v>
      </c>
      <c r="F104">
        <f t="shared" si="50"/>
        <v>10</v>
      </c>
      <c r="G104">
        <f t="shared" si="51"/>
        <v>4</v>
      </c>
      <c r="H104" t="str">
        <f>IF(V104="","",IFERROR(VLOOKUP(TRIM($V104),KEY!$B$2:$E$58,3,FALSE),""))</f>
        <v>AZ</v>
      </c>
      <c r="I104" t="str">
        <f t="shared" si="52"/>
        <v>WEST-15</v>
      </c>
      <c r="J104" t="str">
        <f t="shared" si="61"/>
        <v>Dec 2024-WEST-15</v>
      </c>
      <c r="K104">
        <f t="shared" si="53"/>
        <v>15</v>
      </c>
      <c r="L104">
        <f t="shared" si="54"/>
        <v>14.35</v>
      </c>
      <c r="M104">
        <f>IF(V104="","",IFERROR(VLOOKUP(TRIM($V104),KEY!$B$2:$E$58,4,FALSE),""))</f>
        <v>35</v>
      </c>
      <c r="N104">
        <f t="shared" si="55"/>
        <v>14</v>
      </c>
      <c r="O104" t="str">
        <f t="shared" si="56"/>
        <v>MB-1</v>
      </c>
      <c r="P104">
        <f t="shared" si="57"/>
        <v>1</v>
      </c>
      <c r="Q104">
        <f t="shared" si="58"/>
        <v>1.01</v>
      </c>
      <c r="R104">
        <f t="shared" si="59"/>
        <v>1</v>
      </c>
      <c r="S104">
        <f t="shared" si="60"/>
        <v>1</v>
      </c>
      <c r="T104" t="str">
        <f>IF(V104="","",IFERROR(VLOOKUP(TRIM($V104),KEY!$B$2:$E$58,2,FALSE),""))</f>
        <v>MB</v>
      </c>
      <c r="V104" s="64" t="s">
        <v>35</v>
      </c>
      <c r="W104" s="64">
        <v>4</v>
      </c>
      <c r="X104" s="64">
        <v>1</v>
      </c>
      <c r="Y104" s="64">
        <v>0.25</v>
      </c>
      <c r="Z104" s="64">
        <v>0</v>
      </c>
      <c r="AA104" s="64">
        <v>1</v>
      </c>
      <c r="AB104" s="64">
        <v>0</v>
      </c>
      <c r="AC104" s="64">
        <v>0</v>
      </c>
      <c r="AD104" s="64">
        <v>1</v>
      </c>
      <c r="AE104" s="64">
        <v>0.25</v>
      </c>
      <c r="AF104" s="64">
        <v>1</v>
      </c>
      <c r="AG104" s="64">
        <v>0</v>
      </c>
      <c r="AH104" s="64">
        <v>0</v>
      </c>
      <c r="AI104" s="64">
        <v>0.25</v>
      </c>
      <c r="AJ104" s="64">
        <v>2</v>
      </c>
      <c r="AK104" s="64">
        <v>0</v>
      </c>
      <c r="AL104" s="64">
        <v>0</v>
      </c>
      <c r="AM104" s="64">
        <v>0.5</v>
      </c>
    </row>
    <row r="105" spans="2:39" x14ac:dyDescent="0.2">
      <c r="B105" t="str">
        <f t="shared" si="46"/>
        <v>AZ-13</v>
      </c>
      <c r="C105" t="str">
        <f t="shared" si="47"/>
        <v>Nov 2024-AZ-13</v>
      </c>
      <c r="D105">
        <f t="shared" si="48"/>
        <v>13</v>
      </c>
      <c r="E105">
        <f t="shared" si="49"/>
        <v>8.11</v>
      </c>
      <c r="F105">
        <f t="shared" si="50"/>
        <v>11</v>
      </c>
      <c r="G105">
        <f t="shared" si="51"/>
        <v>8</v>
      </c>
      <c r="H105" t="str">
        <f>IF(V105="","",IFERROR(VLOOKUP(TRIM($V105),KEY!$B$2:$E$58,3,FALSE),""))</f>
        <v>AZ</v>
      </c>
      <c r="I105" t="str">
        <f t="shared" si="52"/>
        <v>WEST-40</v>
      </c>
      <c r="J105" t="str">
        <f t="shared" si="61"/>
        <v>Dec 2024-WEST-40</v>
      </c>
      <c r="K105">
        <f t="shared" si="53"/>
        <v>40</v>
      </c>
      <c r="L105">
        <f t="shared" si="54"/>
        <v>32.36</v>
      </c>
      <c r="M105">
        <f>IF(V105="","",IFERROR(VLOOKUP(TRIM($V105),KEY!$B$2:$E$58,4,FALSE),""))</f>
        <v>36</v>
      </c>
      <c r="N105">
        <f t="shared" si="55"/>
        <v>32</v>
      </c>
      <c r="O105" t="str">
        <f t="shared" si="56"/>
        <v>MB-3</v>
      </c>
      <c r="P105">
        <f t="shared" si="57"/>
        <v>3</v>
      </c>
      <c r="Q105">
        <f t="shared" si="58"/>
        <v>3.02</v>
      </c>
      <c r="R105">
        <f t="shared" si="59"/>
        <v>2</v>
      </c>
      <c r="S105">
        <f t="shared" si="60"/>
        <v>3</v>
      </c>
      <c r="T105" t="str">
        <f>IF(V105="","",IFERROR(VLOOKUP(TRIM($V105),KEY!$B$2:$E$58,2,FALSE),""))</f>
        <v>MB</v>
      </c>
      <c r="V105" s="64" t="s">
        <v>270</v>
      </c>
      <c r="W105" s="64">
        <v>16</v>
      </c>
      <c r="X105" s="64">
        <v>0</v>
      </c>
      <c r="Y105" s="64">
        <v>0</v>
      </c>
      <c r="Z105" s="64">
        <v>0</v>
      </c>
      <c r="AA105" s="64">
        <v>0</v>
      </c>
      <c r="AB105" s="64">
        <v>0</v>
      </c>
      <c r="AC105" s="64">
        <v>0</v>
      </c>
      <c r="AD105" s="64">
        <v>0</v>
      </c>
      <c r="AE105" s="64">
        <v>0</v>
      </c>
      <c r="AF105" s="64">
        <v>1</v>
      </c>
      <c r="AG105" s="64">
        <v>0</v>
      </c>
      <c r="AH105" s="64">
        <v>14</v>
      </c>
      <c r="AI105" s="64">
        <v>0.9375</v>
      </c>
      <c r="AJ105" s="64">
        <v>1</v>
      </c>
      <c r="AK105" s="64">
        <v>0</v>
      </c>
      <c r="AL105" s="64">
        <v>0</v>
      </c>
      <c r="AM105" s="64">
        <v>6.25E-2</v>
      </c>
    </row>
    <row r="106" spans="2:39" x14ac:dyDescent="0.2">
      <c r="B106" t="str">
        <f t="shared" si="46"/>
        <v>SoCal-6</v>
      </c>
      <c r="C106" t="str">
        <f t="shared" si="47"/>
        <v>Nov 2024-SoCal-6</v>
      </c>
      <c r="D106">
        <f t="shared" si="48"/>
        <v>6</v>
      </c>
      <c r="E106">
        <f t="shared" si="49"/>
        <v>6.1</v>
      </c>
      <c r="F106">
        <f t="shared" si="50"/>
        <v>10</v>
      </c>
      <c r="G106">
        <f t="shared" si="51"/>
        <v>6</v>
      </c>
      <c r="H106" t="str">
        <f>IF(V106="","",IFERROR(VLOOKUP(TRIM($V106),KEY!$B$2:$E$58,3,FALSE),""))</f>
        <v>SoCal</v>
      </c>
      <c r="I106" t="str">
        <f t="shared" si="52"/>
        <v>WEST-27</v>
      </c>
      <c r="J106" t="str">
        <f t="shared" si="61"/>
        <v>Dec 2024-WEST-27</v>
      </c>
      <c r="K106">
        <f t="shared" si="53"/>
        <v>27</v>
      </c>
      <c r="L106">
        <f t="shared" si="54"/>
        <v>27.37</v>
      </c>
      <c r="M106">
        <f>IF(V106="","",IFERROR(VLOOKUP(TRIM($V106),KEY!$B$2:$E$58,4,FALSE),""))</f>
        <v>37</v>
      </c>
      <c r="N106">
        <f t="shared" si="55"/>
        <v>27</v>
      </c>
      <c r="O106" t="str">
        <f t="shared" si="56"/>
        <v>MB-2</v>
      </c>
      <c r="P106">
        <f t="shared" si="57"/>
        <v>2</v>
      </c>
      <c r="Q106">
        <f t="shared" si="58"/>
        <v>2.0299999999999998</v>
      </c>
      <c r="R106">
        <f t="shared" si="59"/>
        <v>3</v>
      </c>
      <c r="S106">
        <f t="shared" si="60"/>
        <v>2</v>
      </c>
      <c r="T106" t="str">
        <f>IF(V106="","",IFERROR(VLOOKUP(TRIM($V106),KEY!$B$2:$E$58,2,FALSE),""))</f>
        <v>MB</v>
      </c>
      <c r="V106" s="64" t="s">
        <v>36</v>
      </c>
      <c r="W106" s="64">
        <v>40</v>
      </c>
      <c r="X106" s="64">
        <v>3</v>
      </c>
      <c r="Y106" s="64">
        <v>7.4999999999999997E-2</v>
      </c>
      <c r="Z106" s="64">
        <v>1</v>
      </c>
      <c r="AA106" s="64">
        <v>3</v>
      </c>
      <c r="AB106" s="64">
        <v>0</v>
      </c>
      <c r="AC106" s="64">
        <v>1</v>
      </c>
      <c r="AD106" s="64">
        <v>5</v>
      </c>
      <c r="AE106" s="64">
        <v>0.125</v>
      </c>
      <c r="AF106" s="64">
        <v>10</v>
      </c>
      <c r="AG106" s="64">
        <v>1</v>
      </c>
      <c r="AH106" s="64">
        <v>16</v>
      </c>
      <c r="AI106" s="64">
        <v>0.67500000000000004</v>
      </c>
      <c r="AJ106" s="64">
        <v>6</v>
      </c>
      <c r="AK106" s="64">
        <v>2</v>
      </c>
      <c r="AL106" s="64">
        <v>0</v>
      </c>
      <c r="AM106" s="64">
        <v>0.2</v>
      </c>
    </row>
    <row r="107" spans="2:39" x14ac:dyDescent="0.2">
      <c r="B107" t="str">
        <f t="shared" si="46"/>
        <v>AZ-14</v>
      </c>
      <c r="C107" t="str">
        <f t="shared" si="47"/>
        <v>Nov 2024-AZ-14</v>
      </c>
      <c r="D107">
        <f t="shared" si="48"/>
        <v>14</v>
      </c>
      <c r="E107">
        <f t="shared" si="49"/>
        <v>8.1199999999999992</v>
      </c>
      <c r="F107">
        <f t="shared" si="50"/>
        <v>12</v>
      </c>
      <c r="G107">
        <f t="shared" si="51"/>
        <v>8</v>
      </c>
      <c r="H107" t="str">
        <f>IF(V107="","",IFERROR(VLOOKUP(TRIM($V107),KEY!$B$2:$E$58,3,FALSE),""))</f>
        <v>AZ</v>
      </c>
      <c r="I107" t="str">
        <f t="shared" si="52"/>
        <v>WEST-41</v>
      </c>
      <c r="J107" t="str">
        <f t="shared" si="61"/>
        <v>Dec 2024-WEST-41</v>
      </c>
      <c r="K107">
        <f t="shared" si="53"/>
        <v>41</v>
      </c>
      <c r="L107">
        <f t="shared" si="54"/>
        <v>32.380000000000003</v>
      </c>
      <c r="M107">
        <f>IF(V107="","",IFERROR(VLOOKUP(TRIM($V107),KEY!$B$2:$E$58,4,FALSE),""))</f>
        <v>38</v>
      </c>
      <c r="N107">
        <f t="shared" si="55"/>
        <v>32</v>
      </c>
      <c r="O107" t="str">
        <f t="shared" si="56"/>
        <v>MI-4</v>
      </c>
      <c r="P107">
        <f t="shared" si="57"/>
        <v>4</v>
      </c>
      <c r="Q107">
        <f t="shared" si="58"/>
        <v>3.02</v>
      </c>
      <c r="R107">
        <f t="shared" si="59"/>
        <v>2</v>
      </c>
      <c r="S107">
        <f t="shared" si="60"/>
        <v>3</v>
      </c>
      <c r="T107" t="str">
        <f>IF(V107="","",IFERROR(VLOOKUP(TRIM($V107),KEY!$B$2:$E$58,2,FALSE),""))</f>
        <v>MI</v>
      </c>
      <c r="V107" s="64" t="s">
        <v>38</v>
      </c>
      <c r="W107" s="64">
        <v>3</v>
      </c>
      <c r="X107" s="64">
        <v>0</v>
      </c>
      <c r="Y107" s="64">
        <v>0</v>
      </c>
      <c r="Z107" s="64">
        <v>0</v>
      </c>
      <c r="AA107" s="64">
        <v>0</v>
      </c>
      <c r="AB107" s="64">
        <v>0</v>
      </c>
      <c r="AC107" s="64">
        <v>0</v>
      </c>
      <c r="AD107" s="64">
        <v>0</v>
      </c>
      <c r="AE107" s="64">
        <v>0</v>
      </c>
      <c r="AF107" s="64">
        <v>3</v>
      </c>
      <c r="AG107" s="64">
        <v>0</v>
      </c>
      <c r="AH107" s="64">
        <v>0</v>
      </c>
      <c r="AI107" s="64">
        <v>1</v>
      </c>
      <c r="AJ107" s="64">
        <v>0</v>
      </c>
      <c r="AK107" s="64">
        <v>0</v>
      </c>
      <c r="AL107" s="64">
        <v>0</v>
      </c>
      <c r="AM107" s="64">
        <v>0</v>
      </c>
    </row>
    <row r="108" spans="2:39" x14ac:dyDescent="0.2">
      <c r="B108" t="str">
        <f t="shared" si="46"/>
        <v>TX-9</v>
      </c>
      <c r="C108" t="str">
        <f t="shared" si="47"/>
        <v>Nov 2024-TX-9</v>
      </c>
      <c r="D108">
        <f t="shared" si="48"/>
        <v>9</v>
      </c>
      <c r="E108">
        <f t="shared" si="49"/>
        <v>7.07</v>
      </c>
      <c r="F108">
        <f t="shared" si="50"/>
        <v>7</v>
      </c>
      <c r="G108">
        <f t="shared" si="51"/>
        <v>7</v>
      </c>
      <c r="H108" t="str">
        <f>IF(V108="","",IFERROR(VLOOKUP(TRIM($V108),KEY!$B$2:$E$58,3,FALSE),""))</f>
        <v>TX</v>
      </c>
      <c r="I108" t="str">
        <f t="shared" si="52"/>
        <v>WEST-26</v>
      </c>
      <c r="J108" t="str">
        <f t="shared" si="61"/>
        <v>Dec 2024-WEST-26</v>
      </c>
      <c r="K108">
        <f t="shared" si="53"/>
        <v>26</v>
      </c>
      <c r="L108">
        <f t="shared" si="54"/>
        <v>26.39</v>
      </c>
      <c r="M108">
        <f>IF(V108="","",IFERROR(VLOOKUP(TRIM($V108),KEY!$B$2:$E$58,4,FALSE),""))</f>
        <v>39</v>
      </c>
      <c r="N108">
        <f t="shared" si="55"/>
        <v>26</v>
      </c>
      <c r="O108" t="str">
        <f t="shared" si="56"/>
        <v>MI-3</v>
      </c>
      <c r="P108">
        <f t="shared" si="57"/>
        <v>3</v>
      </c>
      <c r="Q108">
        <f t="shared" si="58"/>
        <v>2.0299999999999998</v>
      </c>
      <c r="R108">
        <f t="shared" si="59"/>
        <v>3</v>
      </c>
      <c r="S108">
        <f t="shared" si="60"/>
        <v>2</v>
      </c>
      <c r="T108" t="str">
        <f>IF(V108="","",IFERROR(VLOOKUP(TRIM($V108),KEY!$B$2:$E$58,2,FALSE),""))</f>
        <v>MI</v>
      </c>
      <c r="V108" s="64" t="s">
        <v>39</v>
      </c>
      <c r="W108" s="64">
        <v>11</v>
      </c>
      <c r="X108" s="64">
        <v>1</v>
      </c>
      <c r="Y108" s="64">
        <v>9.0909090909090912E-2</v>
      </c>
      <c r="Z108" s="64">
        <v>0</v>
      </c>
      <c r="AA108" s="64">
        <v>1</v>
      </c>
      <c r="AB108" s="64">
        <v>0</v>
      </c>
      <c r="AC108" s="64">
        <v>3</v>
      </c>
      <c r="AD108" s="64">
        <v>4</v>
      </c>
      <c r="AE108" s="64">
        <v>0.36363636363636365</v>
      </c>
      <c r="AF108" s="64">
        <v>5</v>
      </c>
      <c r="AG108" s="64">
        <v>0</v>
      </c>
      <c r="AH108" s="64">
        <v>0</v>
      </c>
      <c r="AI108" s="64">
        <v>0.45454545454545453</v>
      </c>
      <c r="AJ108" s="64">
        <v>0</v>
      </c>
      <c r="AK108" s="64">
        <v>2</v>
      </c>
      <c r="AL108" s="64">
        <v>0</v>
      </c>
      <c r="AM108" s="64">
        <v>0.18181818181818182</v>
      </c>
    </row>
    <row r="109" spans="2:39" x14ac:dyDescent="0.2">
      <c r="B109" t="str">
        <f t="shared" si="46"/>
        <v>NorCal-7</v>
      </c>
      <c r="C109" t="str">
        <f t="shared" si="47"/>
        <v>Nov 2024-NorCal-7</v>
      </c>
      <c r="D109">
        <f t="shared" si="48"/>
        <v>7</v>
      </c>
      <c r="E109">
        <f t="shared" si="49"/>
        <v>5.05</v>
      </c>
      <c r="F109">
        <f t="shared" si="50"/>
        <v>5</v>
      </c>
      <c r="G109">
        <f t="shared" si="51"/>
        <v>5</v>
      </c>
      <c r="H109" t="str">
        <f>IF(V109="","",IFERROR(VLOOKUP(TRIM($V109),KEY!$B$2:$E$58,3,FALSE),""))</f>
        <v>NorCal</v>
      </c>
      <c r="I109" t="str">
        <f t="shared" si="52"/>
        <v>WEST-42</v>
      </c>
      <c r="J109" t="str">
        <f t="shared" si="61"/>
        <v>Dec 2024-WEST-42</v>
      </c>
      <c r="K109">
        <f t="shared" si="53"/>
        <v>42</v>
      </c>
      <c r="L109">
        <f t="shared" si="54"/>
        <v>32.4</v>
      </c>
      <c r="M109">
        <f>IF(V109="","",IFERROR(VLOOKUP(TRIM($V109),KEY!$B$2:$E$58,4,FALSE),""))</f>
        <v>40</v>
      </c>
      <c r="N109">
        <f t="shared" si="55"/>
        <v>32</v>
      </c>
      <c r="O109" t="str">
        <f t="shared" si="56"/>
        <v>MI-5</v>
      </c>
      <c r="P109">
        <f t="shared" si="57"/>
        <v>5</v>
      </c>
      <c r="Q109">
        <f t="shared" si="58"/>
        <v>3.04</v>
      </c>
      <c r="R109">
        <f t="shared" si="59"/>
        <v>4</v>
      </c>
      <c r="S109">
        <f t="shared" si="60"/>
        <v>3</v>
      </c>
      <c r="T109" t="str">
        <f>IF(V109="","",IFERROR(VLOOKUP(TRIM($V109),KEY!$B$2:$E$58,2,FALSE),""))</f>
        <v>MI</v>
      </c>
      <c r="V109" s="64" t="s">
        <v>40</v>
      </c>
      <c r="W109" s="64">
        <v>9</v>
      </c>
      <c r="X109" s="64">
        <v>0</v>
      </c>
      <c r="Y109" s="64">
        <v>0</v>
      </c>
      <c r="Z109" s="64">
        <v>0</v>
      </c>
      <c r="AA109" s="64">
        <v>0</v>
      </c>
      <c r="AB109" s="64">
        <v>0</v>
      </c>
      <c r="AC109" s="64">
        <v>1</v>
      </c>
      <c r="AD109" s="64">
        <v>1</v>
      </c>
      <c r="AE109" s="64">
        <v>0.1111111111111111</v>
      </c>
      <c r="AF109" s="64">
        <v>8</v>
      </c>
      <c r="AG109" s="64">
        <v>0</v>
      </c>
      <c r="AH109" s="64">
        <v>0</v>
      </c>
      <c r="AI109" s="64">
        <v>0.88888888888888884</v>
      </c>
      <c r="AJ109" s="64">
        <v>0</v>
      </c>
      <c r="AK109" s="64">
        <v>0</v>
      </c>
      <c r="AL109" s="64">
        <v>0</v>
      </c>
      <c r="AM109" s="64">
        <v>0</v>
      </c>
    </row>
    <row r="110" spans="2:39" x14ac:dyDescent="0.2">
      <c r="B110" t="str">
        <f t="shared" si="46"/>
        <v>OC-2</v>
      </c>
      <c r="C110" t="str">
        <f t="shared" si="47"/>
        <v>Nov 2024-OC-2</v>
      </c>
      <c r="D110">
        <f t="shared" si="48"/>
        <v>2</v>
      </c>
      <c r="E110">
        <f t="shared" si="49"/>
        <v>1.07</v>
      </c>
      <c r="F110">
        <f t="shared" si="50"/>
        <v>7</v>
      </c>
      <c r="G110">
        <f t="shared" si="51"/>
        <v>1</v>
      </c>
      <c r="H110" t="str">
        <f>IF(V110="","",IFERROR(VLOOKUP(TRIM($V110),KEY!$B$2:$E$58,3,FALSE),""))</f>
        <v>OC</v>
      </c>
      <c r="I110" t="str">
        <f t="shared" si="52"/>
        <v>WEST--</v>
      </c>
      <c r="J110" t="str">
        <f t="shared" si="61"/>
        <v>Dec 2024-WEST--</v>
      </c>
      <c r="K110" t="str">
        <f t="shared" si="53"/>
        <v>-</v>
      </c>
      <c r="L110" t="str">
        <f t="shared" si="54"/>
        <v>-</v>
      </c>
      <c r="M110">
        <f>IF(V110="","",IFERROR(VLOOKUP(TRIM($V110),KEY!$B$2:$E$58,4,FALSE),""))</f>
        <v>41</v>
      </c>
      <c r="N110" t="str">
        <f t="shared" si="55"/>
        <v>-</v>
      </c>
      <c r="O110" t="str">
        <f t="shared" si="56"/>
        <v>MI-2</v>
      </c>
      <c r="P110">
        <f t="shared" si="57"/>
        <v>2</v>
      </c>
      <c r="Q110">
        <f t="shared" si="58"/>
        <v>1.05</v>
      </c>
      <c r="R110">
        <f t="shared" si="59"/>
        <v>5</v>
      </c>
      <c r="S110">
        <f t="shared" si="60"/>
        <v>1</v>
      </c>
      <c r="T110" t="str">
        <f>IF(V110="","",IFERROR(VLOOKUP(TRIM($V110),KEY!$B$2:$E$58,2,FALSE),""))</f>
        <v>MI</v>
      </c>
      <c r="V110" s="64" t="s">
        <v>41</v>
      </c>
      <c r="W110" s="64">
        <v>0</v>
      </c>
      <c r="X110" s="64">
        <v>0</v>
      </c>
      <c r="Y110" s="64" t="s">
        <v>274</v>
      </c>
      <c r="Z110" s="64">
        <v>0</v>
      </c>
      <c r="AA110" s="64">
        <v>0</v>
      </c>
      <c r="AB110" s="64">
        <v>0</v>
      </c>
      <c r="AC110" s="64">
        <v>0</v>
      </c>
      <c r="AD110" s="64">
        <v>0</v>
      </c>
      <c r="AE110" s="64" t="s">
        <v>274</v>
      </c>
      <c r="AF110" s="64">
        <v>0</v>
      </c>
      <c r="AG110" s="64">
        <v>0</v>
      </c>
      <c r="AH110" s="64">
        <v>0</v>
      </c>
      <c r="AI110" s="64" t="s">
        <v>274</v>
      </c>
      <c r="AJ110" s="64">
        <v>0</v>
      </c>
      <c r="AK110" s="64">
        <v>0</v>
      </c>
      <c r="AL110" s="64">
        <v>0</v>
      </c>
      <c r="AM110" s="64" t="s">
        <v>274</v>
      </c>
    </row>
    <row r="111" spans="2:39" x14ac:dyDescent="0.2">
      <c r="B111" t="str">
        <f t="shared" si="46"/>
        <v>SoCal-11</v>
      </c>
      <c r="C111" t="str">
        <f t="shared" si="47"/>
        <v>Nov 2024-SoCal-11</v>
      </c>
      <c r="D111">
        <f t="shared" si="48"/>
        <v>11</v>
      </c>
      <c r="E111">
        <f t="shared" si="49"/>
        <v>9.11</v>
      </c>
      <c r="F111">
        <f t="shared" si="50"/>
        <v>11</v>
      </c>
      <c r="G111">
        <f t="shared" si="51"/>
        <v>9</v>
      </c>
      <c r="H111" t="str">
        <f>IF(V111="","",IFERROR(VLOOKUP(TRIM($V111),KEY!$B$2:$E$58,3,FALSE),""))</f>
        <v>SoCal</v>
      </c>
      <c r="I111" t="str">
        <f t="shared" si="52"/>
        <v>WEST-43</v>
      </c>
      <c r="J111" t="str">
        <f t="shared" si="61"/>
        <v>Dec 2024-WEST-43</v>
      </c>
      <c r="K111">
        <f t="shared" si="53"/>
        <v>43</v>
      </c>
      <c r="L111">
        <f t="shared" si="54"/>
        <v>32.42</v>
      </c>
      <c r="M111">
        <f>IF(V111="","",IFERROR(VLOOKUP(TRIM($V111),KEY!$B$2:$E$58,4,FALSE),""))</f>
        <v>42</v>
      </c>
      <c r="N111">
        <f t="shared" si="55"/>
        <v>32</v>
      </c>
      <c r="O111" t="str">
        <f t="shared" si="56"/>
        <v>MI-6</v>
      </c>
      <c r="P111">
        <f t="shared" si="57"/>
        <v>6</v>
      </c>
      <c r="Q111">
        <f t="shared" si="58"/>
        <v>3.06</v>
      </c>
      <c r="R111">
        <f t="shared" si="59"/>
        <v>6</v>
      </c>
      <c r="S111">
        <f t="shared" si="60"/>
        <v>3</v>
      </c>
      <c r="T111" t="str">
        <f>IF(V111="","",IFERROR(VLOOKUP(TRIM($V111),KEY!$B$2:$E$58,2,FALSE),""))</f>
        <v>MI</v>
      </c>
      <c r="V111" s="64" t="s">
        <v>42</v>
      </c>
      <c r="W111" s="64">
        <v>3</v>
      </c>
      <c r="X111" s="64">
        <v>0</v>
      </c>
      <c r="Y111" s="64">
        <v>0</v>
      </c>
      <c r="Z111" s="64">
        <v>1</v>
      </c>
      <c r="AA111" s="64">
        <v>0</v>
      </c>
      <c r="AB111" s="64">
        <v>0</v>
      </c>
      <c r="AC111" s="64">
        <v>1</v>
      </c>
      <c r="AD111" s="64">
        <v>2</v>
      </c>
      <c r="AE111" s="64">
        <v>0.66666666666666663</v>
      </c>
      <c r="AF111" s="64">
        <v>0</v>
      </c>
      <c r="AG111" s="64">
        <v>0</v>
      </c>
      <c r="AH111" s="64">
        <v>0</v>
      </c>
      <c r="AI111" s="64">
        <v>0</v>
      </c>
      <c r="AJ111" s="64">
        <v>0</v>
      </c>
      <c r="AK111" s="64">
        <v>1</v>
      </c>
      <c r="AL111" s="64">
        <v>0</v>
      </c>
      <c r="AM111" s="64">
        <v>0.33333333333333331</v>
      </c>
    </row>
    <row r="112" spans="2:39" x14ac:dyDescent="0.2">
      <c r="B112" t="str">
        <f t="shared" si="46"/>
        <v>AZ-15</v>
      </c>
      <c r="C112" t="str">
        <f t="shared" si="47"/>
        <v>Nov 2024-AZ-15</v>
      </c>
      <c r="D112">
        <f t="shared" si="48"/>
        <v>15</v>
      </c>
      <c r="E112">
        <f t="shared" si="49"/>
        <v>8.1300000000000008</v>
      </c>
      <c r="F112">
        <f t="shared" si="50"/>
        <v>13</v>
      </c>
      <c r="G112">
        <f t="shared" si="51"/>
        <v>8</v>
      </c>
      <c r="H112" t="str">
        <f>IF(V112="","",IFERROR(VLOOKUP(TRIM($V112),KEY!$B$2:$E$58,3,FALSE),""))</f>
        <v>AZ</v>
      </c>
      <c r="I112" t="str">
        <f t="shared" si="52"/>
        <v>WEST-44</v>
      </c>
      <c r="J112" t="str">
        <f t="shared" si="61"/>
        <v>Dec 2024-WEST-44</v>
      </c>
      <c r="K112">
        <f t="shared" si="53"/>
        <v>44</v>
      </c>
      <c r="L112">
        <f t="shared" si="54"/>
        <v>32.43</v>
      </c>
      <c r="M112">
        <f>IF(V112="","",IFERROR(VLOOKUP(TRIM($V112),KEY!$B$2:$E$58,4,FALSE),""))</f>
        <v>43</v>
      </c>
      <c r="N112">
        <f t="shared" si="55"/>
        <v>32</v>
      </c>
      <c r="O112" t="str">
        <f t="shared" si="56"/>
        <v>MI-7</v>
      </c>
      <c r="P112">
        <f t="shared" si="57"/>
        <v>7</v>
      </c>
      <c r="Q112">
        <f t="shared" si="58"/>
        <v>3.07</v>
      </c>
      <c r="R112">
        <f t="shared" si="59"/>
        <v>7</v>
      </c>
      <c r="S112">
        <f t="shared" si="60"/>
        <v>3</v>
      </c>
      <c r="T112" t="str">
        <f>IF(V112="","",IFERROR(VLOOKUP(TRIM($V112),KEY!$B$2:$E$58,2,FALSE),""))</f>
        <v>MI</v>
      </c>
      <c r="V112" s="64" t="s">
        <v>43</v>
      </c>
      <c r="W112" s="64">
        <v>2</v>
      </c>
      <c r="X112" s="64">
        <v>0</v>
      </c>
      <c r="Y112" s="64">
        <v>0</v>
      </c>
      <c r="Z112" s="64">
        <v>0</v>
      </c>
      <c r="AA112" s="64">
        <v>0</v>
      </c>
      <c r="AB112" s="64">
        <v>0</v>
      </c>
      <c r="AC112" s="64">
        <v>1</v>
      </c>
      <c r="AD112" s="64">
        <v>1</v>
      </c>
      <c r="AE112" s="64">
        <v>0.5</v>
      </c>
      <c r="AF112" s="64">
        <v>0</v>
      </c>
      <c r="AG112" s="64">
        <v>0</v>
      </c>
      <c r="AH112" s="64">
        <v>1</v>
      </c>
      <c r="AI112" s="64">
        <v>0.5</v>
      </c>
      <c r="AJ112" s="64">
        <v>0</v>
      </c>
      <c r="AK112" s="64">
        <v>0</v>
      </c>
      <c r="AL112" s="64">
        <v>0</v>
      </c>
      <c r="AM112" s="64">
        <v>0</v>
      </c>
    </row>
    <row r="113" spans="2:39" x14ac:dyDescent="0.2">
      <c r="B113" t="str">
        <f t="shared" si="46"/>
        <v>NorCal-4</v>
      </c>
      <c r="C113" t="str">
        <f t="shared" si="47"/>
        <v>Nov 2024-NorCal-4</v>
      </c>
      <c r="D113">
        <f t="shared" si="48"/>
        <v>4</v>
      </c>
      <c r="E113">
        <f t="shared" si="49"/>
        <v>4.0599999999999996</v>
      </c>
      <c r="F113">
        <f t="shared" si="50"/>
        <v>6</v>
      </c>
      <c r="G113">
        <f t="shared" si="51"/>
        <v>4</v>
      </c>
      <c r="H113" t="str">
        <f>IF(V113="","",IFERROR(VLOOKUP(TRIM($V113),KEY!$B$2:$E$58,3,FALSE),""))</f>
        <v>NorCal</v>
      </c>
      <c r="I113" t="str">
        <f t="shared" si="52"/>
        <v>WEST-31</v>
      </c>
      <c r="J113" t="str">
        <f t="shared" si="61"/>
        <v>Dec 2024-WEST-31</v>
      </c>
      <c r="K113">
        <f t="shared" si="53"/>
        <v>31</v>
      </c>
      <c r="L113">
        <f t="shared" si="54"/>
        <v>31.44</v>
      </c>
      <c r="M113">
        <f>IF(V113="","",IFERROR(VLOOKUP(TRIM($V113),KEY!$B$2:$E$58,4,FALSE),""))</f>
        <v>44</v>
      </c>
      <c r="N113">
        <f t="shared" si="55"/>
        <v>31</v>
      </c>
      <c r="O113" t="str">
        <f t="shared" si="56"/>
        <v>BM-7</v>
      </c>
      <c r="P113">
        <f t="shared" si="57"/>
        <v>7</v>
      </c>
      <c r="Q113">
        <f t="shared" si="58"/>
        <v>7.07</v>
      </c>
      <c r="R113">
        <f t="shared" si="59"/>
        <v>7</v>
      </c>
      <c r="S113">
        <f t="shared" si="60"/>
        <v>7</v>
      </c>
      <c r="T113" t="str">
        <f>IF(V113="","",IFERROR(VLOOKUP(TRIM($V113),KEY!$B$2:$E$58,2,FALSE),""))</f>
        <v>BM</v>
      </c>
      <c r="V113" s="64" t="s">
        <v>21</v>
      </c>
      <c r="W113" s="64">
        <v>70</v>
      </c>
      <c r="X113" s="64">
        <v>2</v>
      </c>
      <c r="Y113" s="64">
        <v>2.8571428571428571E-2</v>
      </c>
      <c r="Z113" s="64">
        <v>1</v>
      </c>
      <c r="AA113" s="64">
        <v>2</v>
      </c>
      <c r="AB113" s="64">
        <v>0</v>
      </c>
      <c r="AC113" s="64">
        <v>0</v>
      </c>
      <c r="AD113" s="64">
        <v>3</v>
      </c>
      <c r="AE113" s="64">
        <v>4.2857142857142858E-2</v>
      </c>
      <c r="AF113" s="64">
        <v>26</v>
      </c>
      <c r="AG113" s="64">
        <v>0</v>
      </c>
      <c r="AH113" s="64">
        <v>41</v>
      </c>
      <c r="AI113" s="64">
        <v>0.95714285714285718</v>
      </c>
      <c r="AJ113" s="64">
        <v>0</v>
      </c>
      <c r="AK113" s="64">
        <v>0</v>
      </c>
      <c r="AL113" s="64">
        <v>0</v>
      </c>
      <c r="AM113" s="64">
        <v>0</v>
      </c>
    </row>
    <row r="114" spans="2:39" x14ac:dyDescent="0.2">
      <c r="B114" t="str">
        <f t="shared" si="46"/>
        <v>AZ-16</v>
      </c>
      <c r="C114" t="str">
        <f t="shared" si="47"/>
        <v>Nov 2024-AZ-16</v>
      </c>
      <c r="D114">
        <f t="shared" si="48"/>
        <v>16</v>
      </c>
      <c r="E114">
        <f t="shared" si="49"/>
        <v>8.14</v>
      </c>
      <c r="F114">
        <f t="shared" si="50"/>
        <v>14</v>
      </c>
      <c r="G114">
        <f t="shared" si="51"/>
        <v>8</v>
      </c>
      <c r="H114" t="str">
        <f>IF(V114="","",IFERROR(VLOOKUP(TRIM($V114),KEY!$B$2:$E$58,3,FALSE),""))</f>
        <v>AZ</v>
      </c>
      <c r="I114" t="str">
        <f t="shared" si="52"/>
        <v>WEST-45</v>
      </c>
      <c r="J114" t="str">
        <f t="shared" si="61"/>
        <v>Dec 2024-WEST-45</v>
      </c>
      <c r="K114">
        <f t="shared" si="53"/>
        <v>45</v>
      </c>
      <c r="L114">
        <f t="shared" si="54"/>
        <v>32.450000000000003</v>
      </c>
      <c r="M114">
        <f>IF(V114="","",IFERROR(VLOOKUP(TRIM($V114),KEY!$B$2:$E$58,4,FALSE),""))</f>
        <v>45</v>
      </c>
      <c r="N114">
        <f t="shared" si="55"/>
        <v>32</v>
      </c>
      <c r="O114" t="str">
        <f t="shared" si="56"/>
        <v>PO-2</v>
      </c>
      <c r="P114">
        <f t="shared" si="57"/>
        <v>2</v>
      </c>
      <c r="Q114">
        <f t="shared" si="58"/>
        <v>2.0099999999999998</v>
      </c>
      <c r="R114">
        <f t="shared" si="59"/>
        <v>1</v>
      </c>
      <c r="S114">
        <f t="shared" si="60"/>
        <v>2</v>
      </c>
      <c r="T114" t="str">
        <f>IF(V114="","",IFERROR(VLOOKUP(TRIM($V114),KEY!$B$2:$E$58,2,FALSE),""))</f>
        <v>PO</v>
      </c>
      <c r="V114" s="64" t="s">
        <v>44</v>
      </c>
      <c r="W114" s="64">
        <v>3</v>
      </c>
      <c r="X114" s="64">
        <v>0</v>
      </c>
      <c r="Y114" s="64">
        <v>0</v>
      </c>
      <c r="Z114" s="64">
        <v>0</v>
      </c>
      <c r="AA114" s="64">
        <v>0</v>
      </c>
      <c r="AB114" s="64">
        <v>0</v>
      </c>
      <c r="AC114" s="64">
        <v>0</v>
      </c>
      <c r="AD114" s="64">
        <v>0</v>
      </c>
      <c r="AE114" s="64">
        <v>0</v>
      </c>
      <c r="AF114" s="64">
        <v>0</v>
      </c>
      <c r="AG114" s="64">
        <v>0</v>
      </c>
      <c r="AH114" s="64">
        <v>3</v>
      </c>
      <c r="AI114" s="64">
        <v>1</v>
      </c>
      <c r="AJ114" s="64">
        <v>0</v>
      </c>
      <c r="AK114" s="64">
        <v>0</v>
      </c>
      <c r="AL114" s="64">
        <v>0</v>
      </c>
      <c r="AM114" s="64">
        <v>0</v>
      </c>
    </row>
    <row r="115" spans="2:39" x14ac:dyDescent="0.2">
      <c r="B115" t="str">
        <f t="shared" si="46"/>
        <v>NorCal-2</v>
      </c>
      <c r="C115" t="str">
        <f t="shared" si="47"/>
        <v>Nov 2024-NorCal-2</v>
      </c>
      <c r="D115">
        <f t="shared" si="48"/>
        <v>2</v>
      </c>
      <c r="E115">
        <f t="shared" si="49"/>
        <v>2.0699999999999998</v>
      </c>
      <c r="F115">
        <f t="shared" si="50"/>
        <v>7</v>
      </c>
      <c r="G115">
        <f t="shared" si="51"/>
        <v>2</v>
      </c>
      <c r="H115" t="str">
        <f>IF(V115="","",IFERROR(VLOOKUP(TRIM($V115),KEY!$B$2:$E$58,3,FALSE),""))</f>
        <v>NorCal</v>
      </c>
      <c r="I115" t="str">
        <f t="shared" si="52"/>
        <v>WEST-21</v>
      </c>
      <c r="J115" t="str">
        <f t="shared" si="61"/>
        <v>Dec 2024-WEST-21</v>
      </c>
      <c r="K115">
        <f t="shared" si="53"/>
        <v>21</v>
      </c>
      <c r="L115">
        <f t="shared" si="54"/>
        <v>20.46</v>
      </c>
      <c r="M115">
        <f>IF(V115="","",IFERROR(VLOOKUP(TRIM($V115),KEY!$B$2:$E$58,4,FALSE),""))</f>
        <v>46</v>
      </c>
      <c r="N115">
        <f t="shared" si="55"/>
        <v>20</v>
      </c>
      <c r="O115" t="str">
        <f t="shared" si="56"/>
        <v>PO-1</v>
      </c>
      <c r="P115">
        <f t="shared" si="57"/>
        <v>1</v>
      </c>
      <c r="Q115">
        <f t="shared" si="58"/>
        <v>1.02</v>
      </c>
      <c r="R115">
        <f t="shared" si="59"/>
        <v>2</v>
      </c>
      <c r="S115">
        <f t="shared" si="60"/>
        <v>1</v>
      </c>
      <c r="T115" t="str">
        <f>IF(V115="","",IFERROR(VLOOKUP(TRIM($V115),KEY!$B$2:$E$58,2,FALSE),""))</f>
        <v>PO</v>
      </c>
      <c r="V115" s="64" t="s">
        <v>45</v>
      </c>
      <c r="W115" s="64">
        <v>12</v>
      </c>
      <c r="X115" s="64">
        <v>2</v>
      </c>
      <c r="Y115" s="64">
        <v>0.16666666666666666</v>
      </c>
      <c r="Z115" s="64">
        <v>0</v>
      </c>
      <c r="AA115" s="64">
        <v>2</v>
      </c>
      <c r="AB115" s="64">
        <v>1</v>
      </c>
      <c r="AC115" s="64">
        <v>4</v>
      </c>
      <c r="AD115" s="64">
        <v>7</v>
      </c>
      <c r="AE115" s="64">
        <v>0.58333333333333337</v>
      </c>
      <c r="AF115" s="64">
        <v>3</v>
      </c>
      <c r="AG115" s="64">
        <v>0</v>
      </c>
      <c r="AH115" s="64">
        <v>0</v>
      </c>
      <c r="AI115" s="64">
        <v>0.25</v>
      </c>
      <c r="AJ115" s="64">
        <v>0</v>
      </c>
      <c r="AK115" s="64">
        <v>2</v>
      </c>
      <c r="AL115" s="64">
        <v>0</v>
      </c>
      <c r="AM115" s="64">
        <v>0.16666666666666666</v>
      </c>
    </row>
    <row r="116" spans="2:39" x14ac:dyDescent="0.2">
      <c r="B116" t="str">
        <f t="shared" si="46"/>
        <v>TX-6</v>
      </c>
      <c r="C116" t="str">
        <f t="shared" si="47"/>
        <v>Nov 2024-TX-6</v>
      </c>
      <c r="D116">
        <f t="shared" si="48"/>
        <v>6</v>
      </c>
      <c r="E116">
        <f t="shared" si="49"/>
        <v>4.08</v>
      </c>
      <c r="F116">
        <f t="shared" si="50"/>
        <v>8</v>
      </c>
      <c r="G116">
        <f t="shared" si="51"/>
        <v>4</v>
      </c>
      <c r="H116" t="str">
        <f>IF(V116="","",IFERROR(VLOOKUP(TRIM($V116),KEY!$B$2:$E$58,3,FALSE),""))</f>
        <v>TX</v>
      </c>
      <c r="I116" t="str">
        <f t="shared" si="52"/>
        <v>WEST-10</v>
      </c>
      <c r="J116" t="str">
        <f t="shared" si="61"/>
        <v>Dec 2024-WEST-10</v>
      </c>
      <c r="K116">
        <f t="shared" si="53"/>
        <v>10</v>
      </c>
      <c r="L116">
        <f t="shared" si="54"/>
        <v>10.47</v>
      </c>
      <c r="M116">
        <f>IF(V116="","",IFERROR(VLOOKUP(TRIM($V116),KEY!$B$2:$E$58,4,FALSE),""))</f>
        <v>47</v>
      </c>
      <c r="N116">
        <f t="shared" si="55"/>
        <v>10</v>
      </c>
      <c r="O116" t="str">
        <f t="shared" si="56"/>
        <v>HO-2</v>
      </c>
      <c r="P116">
        <f t="shared" si="57"/>
        <v>2</v>
      </c>
      <c r="Q116">
        <f t="shared" si="58"/>
        <v>1.05</v>
      </c>
      <c r="R116">
        <f t="shared" si="59"/>
        <v>5</v>
      </c>
      <c r="S116">
        <f t="shared" si="60"/>
        <v>1</v>
      </c>
      <c r="T116" t="str">
        <f>IF(V116="","",IFERROR(VLOOKUP(TRIM($V116),KEY!$B$2:$E$58,2,FALSE),""))</f>
        <v>HO</v>
      </c>
      <c r="V116" s="64" t="s">
        <v>25</v>
      </c>
      <c r="W116" s="64">
        <v>25</v>
      </c>
      <c r="X116" s="64">
        <v>7</v>
      </c>
      <c r="Y116" s="64">
        <v>0.28000000000000003</v>
      </c>
      <c r="Z116" s="64">
        <v>0</v>
      </c>
      <c r="AA116" s="64">
        <v>7</v>
      </c>
      <c r="AB116" s="64">
        <v>0</v>
      </c>
      <c r="AC116" s="64">
        <v>3</v>
      </c>
      <c r="AD116" s="64">
        <v>10</v>
      </c>
      <c r="AE116" s="64">
        <v>0.4</v>
      </c>
      <c r="AF116" s="64">
        <v>4</v>
      </c>
      <c r="AG116" s="64">
        <v>0</v>
      </c>
      <c r="AH116" s="64">
        <v>0</v>
      </c>
      <c r="AI116" s="64">
        <v>0.16</v>
      </c>
      <c r="AJ116" s="64">
        <v>2</v>
      </c>
      <c r="AK116" s="64">
        <v>9</v>
      </c>
      <c r="AL116" s="64">
        <v>0</v>
      </c>
      <c r="AM116" s="64">
        <v>0.44</v>
      </c>
    </row>
    <row r="117" spans="2:39" x14ac:dyDescent="0.2">
      <c r="B117" t="str">
        <f t="shared" si="46"/>
        <v>TX-4</v>
      </c>
      <c r="C117" t="str">
        <f t="shared" si="47"/>
        <v>Nov 2024-TX-4</v>
      </c>
      <c r="D117">
        <f t="shared" si="48"/>
        <v>4</v>
      </c>
      <c r="E117">
        <f t="shared" si="49"/>
        <v>2.09</v>
      </c>
      <c r="F117">
        <f t="shared" si="50"/>
        <v>9</v>
      </c>
      <c r="G117">
        <f t="shared" si="51"/>
        <v>2</v>
      </c>
      <c r="H117" t="str">
        <f>IF(V117="","",IFERROR(VLOOKUP(TRIM($V117),KEY!$B$2:$E$58,3,FALSE),""))</f>
        <v>TX</v>
      </c>
      <c r="I117" t="str">
        <f t="shared" si="52"/>
        <v>WEST-2</v>
      </c>
      <c r="J117" t="str">
        <f t="shared" si="61"/>
        <v>Dec 2024-WEST-2</v>
      </c>
      <c r="K117">
        <f t="shared" si="53"/>
        <v>2</v>
      </c>
      <c r="L117">
        <f t="shared" si="54"/>
        <v>2.48</v>
      </c>
      <c r="M117">
        <f>IF(V117="","",IFERROR(VLOOKUP(TRIM($V117),KEY!$B$2:$E$58,4,FALSE),""))</f>
        <v>48</v>
      </c>
      <c r="N117">
        <f t="shared" si="55"/>
        <v>2</v>
      </c>
      <c r="O117" t="str">
        <f t="shared" si="56"/>
        <v>HY-1</v>
      </c>
      <c r="P117">
        <f t="shared" si="57"/>
        <v>1</v>
      </c>
      <c r="Q117">
        <f t="shared" si="58"/>
        <v>1.02</v>
      </c>
      <c r="R117">
        <f t="shared" si="59"/>
        <v>2</v>
      </c>
      <c r="S117">
        <f t="shared" si="60"/>
        <v>1</v>
      </c>
      <c r="T117" t="str">
        <f>IF(V117="","",IFERROR(VLOOKUP(TRIM($V117),KEY!$B$2:$E$58,2,FALSE),""))</f>
        <v>HY</v>
      </c>
      <c r="V117" s="64" t="s">
        <v>28</v>
      </c>
      <c r="W117" s="64">
        <v>11</v>
      </c>
      <c r="X117" s="64">
        <v>5</v>
      </c>
      <c r="Y117" s="64">
        <v>0.45454545454545453</v>
      </c>
      <c r="Z117" s="64">
        <v>0</v>
      </c>
      <c r="AA117" s="64">
        <v>5</v>
      </c>
      <c r="AB117" s="64">
        <v>0</v>
      </c>
      <c r="AC117" s="64">
        <v>2</v>
      </c>
      <c r="AD117" s="64">
        <v>7</v>
      </c>
      <c r="AE117" s="64">
        <v>0.63636363636363635</v>
      </c>
      <c r="AF117" s="64">
        <v>4</v>
      </c>
      <c r="AG117" s="64">
        <v>0</v>
      </c>
      <c r="AH117" s="64">
        <v>0</v>
      </c>
      <c r="AI117" s="64">
        <v>0.36363636363636365</v>
      </c>
      <c r="AJ117" s="64">
        <v>0</v>
      </c>
      <c r="AK117" s="64">
        <v>0</v>
      </c>
      <c r="AL117" s="64">
        <v>0</v>
      </c>
      <c r="AM117" s="64">
        <v>0</v>
      </c>
    </row>
    <row r="118" spans="2:39" x14ac:dyDescent="0.2">
      <c r="B118" t="str">
        <f t="shared" si="46"/>
        <v>TX-11</v>
      </c>
      <c r="C118" t="str">
        <f t="shared" si="47"/>
        <v>Nov 2024-TX-11</v>
      </c>
      <c r="D118">
        <f t="shared" si="48"/>
        <v>11</v>
      </c>
      <c r="E118">
        <f t="shared" si="49"/>
        <v>8.1</v>
      </c>
      <c r="F118">
        <f t="shared" si="50"/>
        <v>10</v>
      </c>
      <c r="G118">
        <f t="shared" si="51"/>
        <v>8</v>
      </c>
      <c r="H118" t="str">
        <f>IF(V118="","",IFERROR(VLOOKUP(TRIM($V118),KEY!$B$2:$E$58,3,FALSE),""))</f>
        <v>TX</v>
      </c>
      <c r="I118" t="str">
        <f t="shared" si="52"/>
        <v>WEST-46</v>
      </c>
      <c r="J118" t="str">
        <f t="shared" si="61"/>
        <v>Dec 2024-WEST-46</v>
      </c>
      <c r="K118">
        <f t="shared" si="53"/>
        <v>46</v>
      </c>
      <c r="L118">
        <f t="shared" si="54"/>
        <v>32.49</v>
      </c>
      <c r="M118">
        <f>IF(V118="","",IFERROR(VLOOKUP(TRIM($V118),KEY!$B$2:$E$58,4,FALSE),""))</f>
        <v>49</v>
      </c>
      <c r="N118">
        <f t="shared" si="55"/>
        <v>32</v>
      </c>
      <c r="O118" t="str">
        <f t="shared" si="56"/>
        <v>TO-4</v>
      </c>
      <c r="P118">
        <f t="shared" si="57"/>
        <v>4</v>
      </c>
      <c r="Q118">
        <f t="shared" si="58"/>
        <v>4.0199999999999996</v>
      </c>
      <c r="R118">
        <f t="shared" si="59"/>
        <v>2</v>
      </c>
      <c r="S118">
        <f t="shared" si="60"/>
        <v>4</v>
      </c>
      <c r="T118" t="str">
        <f>IF(V118="","",IFERROR(VLOOKUP(TRIM($V118),KEY!$B$2:$E$58,2,FALSE),""))</f>
        <v>TO</v>
      </c>
      <c r="V118" s="64" t="s">
        <v>48</v>
      </c>
      <c r="W118" s="64">
        <v>7</v>
      </c>
      <c r="X118" s="64">
        <v>0</v>
      </c>
      <c r="Y118" s="64">
        <v>0</v>
      </c>
      <c r="Z118" s="64">
        <v>1</v>
      </c>
      <c r="AA118" s="64">
        <v>0</v>
      </c>
      <c r="AB118" s="64">
        <v>0</v>
      </c>
      <c r="AC118" s="64">
        <v>5</v>
      </c>
      <c r="AD118" s="64">
        <v>6</v>
      </c>
      <c r="AE118" s="64">
        <v>0.8571428571428571</v>
      </c>
      <c r="AF118" s="64">
        <v>1</v>
      </c>
      <c r="AG118" s="64">
        <v>0</v>
      </c>
      <c r="AH118" s="64">
        <v>0</v>
      </c>
      <c r="AI118" s="64">
        <v>0.14285714285714285</v>
      </c>
      <c r="AJ118" s="64">
        <v>0</v>
      </c>
      <c r="AK118" s="64">
        <v>0</v>
      </c>
      <c r="AL118" s="64">
        <v>0</v>
      </c>
      <c r="AM118" s="64">
        <v>0</v>
      </c>
    </row>
    <row r="119" spans="2:39" x14ac:dyDescent="0.2">
      <c r="B119" t="str">
        <f t="shared" si="46"/>
        <v>AZ-17</v>
      </c>
      <c r="C119" t="str">
        <f t="shared" si="47"/>
        <v>Nov 2024-AZ-17</v>
      </c>
      <c r="D119">
        <f t="shared" si="48"/>
        <v>17</v>
      </c>
      <c r="E119">
        <f t="shared" si="49"/>
        <v>8.15</v>
      </c>
      <c r="F119">
        <f t="shared" si="50"/>
        <v>15</v>
      </c>
      <c r="G119">
        <f t="shared" si="51"/>
        <v>8</v>
      </c>
      <c r="H119" t="str">
        <f>IF(V119="","",IFERROR(VLOOKUP(TRIM($V119),KEY!$B$2:$E$58,3,FALSE),""))</f>
        <v>AZ</v>
      </c>
      <c r="I119" t="str">
        <f t="shared" si="52"/>
        <v>WEST-47</v>
      </c>
      <c r="J119" t="str">
        <f t="shared" si="61"/>
        <v>Dec 2024-WEST-47</v>
      </c>
      <c r="K119">
        <f t="shared" si="53"/>
        <v>47</v>
      </c>
      <c r="L119">
        <f t="shared" si="54"/>
        <v>32.5</v>
      </c>
      <c r="M119">
        <f>IF(V119="","",IFERROR(VLOOKUP(TRIM($V119),KEY!$B$2:$E$58,4,FALSE),""))</f>
        <v>50</v>
      </c>
      <c r="N119">
        <f t="shared" si="55"/>
        <v>32</v>
      </c>
      <c r="O119" t="str">
        <f t="shared" si="56"/>
        <v>FE-1</v>
      </c>
      <c r="P119">
        <f t="shared" si="57"/>
        <v>1</v>
      </c>
      <c r="Q119">
        <f t="shared" si="58"/>
        <v>1.01</v>
      </c>
      <c r="R119">
        <f t="shared" si="59"/>
        <v>1</v>
      </c>
      <c r="S119">
        <f t="shared" si="60"/>
        <v>1</v>
      </c>
      <c r="T119" t="str">
        <f>IF(V119="","",IFERROR(VLOOKUP(TRIM($V119),KEY!$B$2:$E$58,2,FALSE),""))</f>
        <v>FE</v>
      </c>
      <c r="V119" s="64" t="s">
        <v>46</v>
      </c>
      <c r="W119" s="64">
        <v>2</v>
      </c>
      <c r="X119" s="64">
        <v>0</v>
      </c>
      <c r="Y119" s="64">
        <v>0</v>
      </c>
      <c r="Z119" s="64">
        <v>0</v>
      </c>
      <c r="AA119" s="64">
        <v>0</v>
      </c>
      <c r="AB119" s="64">
        <v>0</v>
      </c>
      <c r="AC119" s="64">
        <v>0</v>
      </c>
      <c r="AD119" s="64">
        <v>0</v>
      </c>
      <c r="AE119" s="64">
        <v>0</v>
      </c>
      <c r="AF119" s="64">
        <v>0</v>
      </c>
      <c r="AG119" s="64">
        <v>0</v>
      </c>
      <c r="AH119" s="64">
        <v>2</v>
      </c>
      <c r="AI119" s="64">
        <v>1</v>
      </c>
      <c r="AJ119" s="64">
        <v>0</v>
      </c>
      <c r="AK119" s="64">
        <v>0</v>
      </c>
      <c r="AL119" s="64">
        <v>0</v>
      </c>
      <c r="AM119" s="64">
        <v>0</v>
      </c>
    </row>
    <row r="120" spans="2:39" x14ac:dyDescent="0.2">
      <c r="B120" t="str">
        <f t="shared" si="46"/>
        <v>OC-3</v>
      </c>
      <c r="C120" t="str">
        <f t="shared" si="47"/>
        <v>Nov 2024-OC-3</v>
      </c>
      <c r="D120">
        <f t="shared" si="48"/>
        <v>3</v>
      </c>
      <c r="E120">
        <f t="shared" si="49"/>
        <v>1.08</v>
      </c>
      <c r="F120">
        <f t="shared" si="50"/>
        <v>8</v>
      </c>
      <c r="G120">
        <f t="shared" si="51"/>
        <v>1</v>
      </c>
      <c r="H120" t="str">
        <f>IF(V120="","",IFERROR(VLOOKUP(TRIM($V120),KEY!$B$2:$E$58,3,FALSE),""))</f>
        <v>OC</v>
      </c>
      <c r="I120" t="str">
        <f t="shared" si="52"/>
        <v>WEST-3</v>
      </c>
      <c r="J120" t="str">
        <f t="shared" si="61"/>
        <v>Dec 2024-WEST-3</v>
      </c>
      <c r="K120">
        <f t="shared" si="53"/>
        <v>3</v>
      </c>
      <c r="L120">
        <f t="shared" si="54"/>
        <v>3.51</v>
      </c>
      <c r="M120">
        <f>IF(V120="","",IFERROR(VLOOKUP(TRIM($V120),KEY!$B$2:$E$58,4,FALSE),""))</f>
        <v>51</v>
      </c>
      <c r="N120">
        <f t="shared" si="55"/>
        <v>3</v>
      </c>
      <c r="O120" t="str">
        <f t="shared" si="56"/>
        <v>SU-1</v>
      </c>
      <c r="P120">
        <f t="shared" si="57"/>
        <v>1</v>
      </c>
      <c r="Q120">
        <f t="shared" si="58"/>
        <v>1.01</v>
      </c>
      <c r="R120">
        <f t="shared" si="59"/>
        <v>1</v>
      </c>
      <c r="S120">
        <f t="shared" si="60"/>
        <v>1</v>
      </c>
      <c r="T120" t="str">
        <f>IF(V120="","",IFERROR(VLOOKUP(TRIM($V120),KEY!$B$2:$E$58,2,FALSE),""))</f>
        <v>SU</v>
      </c>
      <c r="V120" s="64" t="s">
        <v>47</v>
      </c>
      <c r="W120" s="64">
        <v>8</v>
      </c>
      <c r="X120" s="64">
        <v>3</v>
      </c>
      <c r="Y120" s="64">
        <v>0.375</v>
      </c>
      <c r="Z120" s="64">
        <v>0</v>
      </c>
      <c r="AA120" s="64">
        <v>3</v>
      </c>
      <c r="AB120" s="64">
        <v>1</v>
      </c>
      <c r="AC120" s="64">
        <v>0</v>
      </c>
      <c r="AD120" s="64">
        <v>4</v>
      </c>
      <c r="AE120" s="64">
        <v>0.5</v>
      </c>
      <c r="AF120" s="64">
        <v>3</v>
      </c>
      <c r="AG120" s="64">
        <v>0</v>
      </c>
      <c r="AH120" s="64">
        <v>0</v>
      </c>
      <c r="AI120" s="64">
        <v>0.375</v>
      </c>
      <c r="AJ120" s="64">
        <v>0</v>
      </c>
      <c r="AK120" s="64">
        <v>1</v>
      </c>
      <c r="AL120" s="64">
        <v>0</v>
      </c>
      <c r="AM120" s="64">
        <v>0.125</v>
      </c>
    </row>
    <row r="121" spans="2:39" x14ac:dyDescent="0.2">
      <c r="B121" t="str">
        <f t="shared" si="46"/>
        <v>AZ-18</v>
      </c>
      <c r="C121" t="str">
        <f t="shared" si="47"/>
        <v>Nov 2024-AZ-18</v>
      </c>
      <c r="D121">
        <f t="shared" si="48"/>
        <v>18</v>
      </c>
      <c r="E121">
        <f t="shared" si="49"/>
        <v>8.16</v>
      </c>
      <c r="F121">
        <f t="shared" si="50"/>
        <v>16</v>
      </c>
      <c r="G121">
        <f t="shared" si="51"/>
        <v>8</v>
      </c>
      <c r="H121" t="str">
        <f>IF(V121="","",IFERROR(VLOOKUP(TRIM($V121),KEY!$B$2:$E$58,3,FALSE),""))</f>
        <v>AZ</v>
      </c>
      <c r="I121" t="str">
        <f t="shared" si="52"/>
        <v>WEST-48</v>
      </c>
      <c r="J121" t="str">
        <f t="shared" si="61"/>
        <v>Dec 2024-WEST-48</v>
      </c>
      <c r="K121">
        <f t="shared" si="53"/>
        <v>48</v>
      </c>
      <c r="L121">
        <f t="shared" si="54"/>
        <v>32.520000000000003</v>
      </c>
      <c r="M121">
        <f>IF(V121="","",IFERROR(VLOOKUP(TRIM($V121),KEY!$B$2:$E$58,4,FALSE),""))</f>
        <v>52</v>
      </c>
      <c r="N121">
        <f t="shared" si="55"/>
        <v>32</v>
      </c>
      <c r="O121" t="str">
        <f t="shared" si="56"/>
        <v>HO-6</v>
      </c>
      <c r="P121">
        <f t="shared" si="57"/>
        <v>6</v>
      </c>
      <c r="Q121">
        <f t="shared" si="58"/>
        <v>4.0599999999999996</v>
      </c>
      <c r="R121">
        <f t="shared" si="59"/>
        <v>6</v>
      </c>
      <c r="S121">
        <f t="shared" si="60"/>
        <v>4</v>
      </c>
      <c r="T121" t="str">
        <f>IF(V121="","",IFERROR(VLOOKUP(TRIM($V121),KEY!$B$2:$E$58,2,FALSE),""))</f>
        <v>HO</v>
      </c>
      <c r="V121" s="64" t="s">
        <v>26</v>
      </c>
      <c r="W121" s="64">
        <v>49</v>
      </c>
      <c r="X121" s="64">
        <v>0</v>
      </c>
      <c r="Y121" s="64">
        <v>0</v>
      </c>
      <c r="Z121" s="64">
        <v>0</v>
      </c>
      <c r="AA121" s="64">
        <v>0</v>
      </c>
      <c r="AB121" s="64">
        <v>0</v>
      </c>
      <c r="AC121" s="64">
        <v>0</v>
      </c>
      <c r="AD121" s="64">
        <v>0</v>
      </c>
      <c r="AE121" s="64">
        <v>0</v>
      </c>
      <c r="AF121" s="64">
        <v>0</v>
      </c>
      <c r="AG121" s="64">
        <v>0</v>
      </c>
      <c r="AH121" s="64">
        <v>49</v>
      </c>
      <c r="AI121" s="64">
        <v>1</v>
      </c>
      <c r="AJ121" s="64">
        <v>0</v>
      </c>
      <c r="AK121" s="64">
        <v>0</v>
      </c>
      <c r="AL121" s="64">
        <v>0</v>
      </c>
      <c r="AM121" s="64">
        <v>0</v>
      </c>
    </row>
    <row r="122" spans="2:39" x14ac:dyDescent="0.2">
      <c r="B122" t="str">
        <f t="shared" si="46"/>
        <v>NorCal-8</v>
      </c>
      <c r="C122" t="str">
        <f t="shared" si="47"/>
        <v>Nov 2024-NorCal-8</v>
      </c>
      <c r="D122">
        <f t="shared" si="48"/>
        <v>8</v>
      </c>
      <c r="E122">
        <f t="shared" si="49"/>
        <v>5.08</v>
      </c>
      <c r="F122">
        <f t="shared" si="50"/>
        <v>8</v>
      </c>
      <c r="G122">
        <f t="shared" si="51"/>
        <v>5</v>
      </c>
      <c r="H122" t="str">
        <f>IF(V122="","",IFERROR(VLOOKUP(TRIM($V122),KEY!$B$2:$E$58,3,FALSE),""))</f>
        <v>NorCal</v>
      </c>
      <c r="I122" t="str">
        <f t="shared" si="52"/>
        <v>WEST-49</v>
      </c>
      <c r="J122" t="str">
        <f t="shared" si="61"/>
        <v>Dec 2024-WEST-49</v>
      </c>
      <c r="K122">
        <f t="shared" si="53"/>
        <v>49</v>
      </c>
      <c r="L122">
        <f t="shared" si="54"/>
        <v>32.53</v>
      </c>
      <c r="M122">
        <f>IF(V122="","",IFERROR(VLOOKUP(TRIM($V122),KEY!$B$2:$E$58,4,FALSE),""))</f>
        <v>53</v>
      </c>
      <c r="N122">
        <f t="shared" si="55"/>
        <v>32</v>
      </c>
      <c r="O122" t="str">
        <f t="shared" si="56"/>
        <v>TO-5</v>
      </c>
      <c r="P122">
        <f t="shared" si="57"/>
        <v>5</v>
      </c>
      <c r="Q122">
        <f t="shared" si="58"/>
        <v>4.03</v>
      </c>
      <c r="R122">
        <f t="shared" si="59"/>
        <v>3</v>
      </c>
      <c r="S122">
        <f t="shared" si="60"/>
        <v>4</v>
      </c>
      <c r="T122" t="str">
        <f>IF(V122="","",IFERROR(VLOOKUP(TRIM($V122),KEY!$B$2:$E$58,2,FALSE),""))</f>
        <v>TO</v>
      </c>
      <c r="V122" s="64" t="s">
        <v>50</v>
      </c>
      <c r="W122" s="64">
        <v>10</v>
      </c>
      <c r="X122" s="64">
        <v>0</v>
      </c>
      <c r="Y122" s="64">
        <v>0</v>
      </c>
      <c r="Z122" s="64">
        <v>0</v>
      </c>
      <c r="AA122" s="64">
        <v>0</v>
      </c>
      <c r="AB122" s="64">
        <v>0</v>
      </c>
      <c r="AC122" s="64">
        <v>1</v>
      </c>
      <c r="AD122" s="64">
        <v>1</v>
      </c>
      <c r="AE122" s="64">
        <v>0.1</v>
      </c>
      <c r="AF122" s="64">
        <v>6</v>
      </c>
      <c r="AG122" s="64">
        <v>0</v>
      </c>
      <c r="AH122" s="64">
        <v>0</v>
      </c>
      <c r="AI122" s="64">
        <v>0.6</v>
      </c>
      <c r="AJ122" s="64">
        <v>0</v>
      </c>
      <c r="AK122" s="64">
        <v>3</v>
      </c>
      <c r="AL122" s="64">
        <v>0</v>
      </c>
      <c r="AM122" s="64">
        <v>0.3</v>
      </c>
    </row>
    <row r="123" spans="2:39" x14ac:dyDescent="0.2">
      <c r="B123" t="str">
        <f t="shared" si="46"/>
        <v>TX-7</v>
      </c>
      <c r="C123" t="str">
        <f t="shared" si="47"/>
        <v>Nov 2024-TX-7</v>
      </c>
      <c r="D123">
        <f t="shared" si="48"/>
        <v>7</v>
      </c>
      <c r="E123">
        <f t="shared" si="49"/>
        <v>5.1100000000000003</v>
      </c>
      <c r="F123">
        <f t="shared" si="50"/>
        <v>11</v>
      </c>
      <c r="G123">
        <f t="shared" si="51"/>
        <v>5</v>
      </c>
      <c r="H123" t="str">
        <f>IF(V123="","",IFERROR(VLOOKUP(TRIM($V123),KEY!$B$2:$E$58,3,FALSE),""))</f>
        <v>TX</v>
      </c>
      <c r="I123" t="str">
        <f t="shared" si="52"/>
        <v>WEST-12</v>
      </c>
      <c r="J123" t="str">
        <f t="shared" si="61"/>
        <v>Dec 2024-WEST-12</v>
      </c>
      <c r="K123">
        <f t="shared" si="53"/>
        <v>12</v>
      </c>
      <c r="L123">
        <f t="shared" si="54"/>
        <v>12.54</v>
      </c>
      <c r="M123">
        <f>IF(V123="","",IFERROR(VLOOKUP(TRIM($V123),KEY!$B$2:$E$58,4,FALSE),""))</f>
        <v>54</v>
      </c>
      <c r="N123">
        <f t="shared" si="55"/>
        <v>12</v>
      </c>
      <c r="O123" t="str">
        <f t="shared" si="56"/>
        <v>TO-1</v>
      </c>
      <c r="P123">
        <f t="shared" si="57"/>
        <v>1</v>
      </c>
      <c r="Q123">
        <f t="shared" si="58"/>
        <v>1.04</v>
      </c>
      <c r="R123">
        <f t="shared" si="59"/>
        <v>4</v>
      </c>
      <c r="S123">
        <f t="shared" si="60"/>
        <v>1</v>
      </c>
      <c r="T123" t="str">
        <f>IF(V123="","",IFERROR(VLOOKUP(TRIM($V123),KEY!$B$2:$E$58,2,FALSE),""))</f>
        <v>TO</v>
      </c>
      <c r="V123" s="64" t="s">
        <v>51</v>
      </c>
      <c r="W123" s="64">
        <v>48</v>
      </c>
      <c r="X123" s="64">
        <v>13</v>
      </c>
      <c r="Y123" s="64">
        <v>0.27083333333333331</v>
      </c>
      <c r="Z123" s="64">
        <v>2</v>
      </c>
      <c r="AA123" s="64">
        <v>13</v>
      </c>
      <c r="AB123" s="64">
        <v>0</v>
      </c>
      <c r="AC123" s="64">
        <v>5</v>
      </c>
      <c r="AD123" s="64">
        <v>20</v>
      </c>
      <c r="AE123" s="64">
        <v>0.41666666666666669</v>
      </c>
      <c r="AF123" s="64">
        <v>18</v>
      </c>
      <c r="AG123" s="64">
        <v>1</v>
      </c>
      <c r="AH123" s="64">
        <v>0</v>
      </c>
      <c r="AI123" s="64">
        <v>0.39583333333333331</v>
      </c>
      <c r="AJ123" s="64">
        <v>0</v>
      </c>
      <c r="AK123" s="64">
        <v>9</v>
      </c>
      <c r="AL123" s="64">
        <v>0</v>
      </c>
      <c r="AM123" s="64">
        <v>0.1875</v>
      </c>
    </row>
    <row r="124" spans="2:39" x14ac:dyDescent="0.2">
      <c r="B124" t="str">
        <f t="shared" si="46"/>
        <v>AZ-9</v>
      </c>
      <c r="C124" t="str">
        <f t="shared" si="47"/>
        <v>Nov 2024-AZ-9</v>
      </c>
      <c r="D124">
        <f t="shared" si="48"/>
        <v>9</v>
      </c>
      <c r="E124">
        <f t="shared" si="49"/>
        <v>6.17</v>
      </c>
      <c r="F124">
        <f t="shared" si="50"/>
        <v>17</v>
      </c>
      <c r="G124">
        <f t="shared" si="51"/>
        <v>6</v>
      </c>
      <c r="H124" t="str">
        <f>IF(V124="","",IFERROR(VLOOKUP(TRIM($V124),KEY!$B$2:$E$58,3,FALSE),""))</f>
        <v>AZ</v>
      </c>
      <c r="I124" t="str">
        <f t="shared" si="52"/>
        <v>WEST-22</v>
      </c>
      <c r="J124" t="str">
        <f t="shared" si="61"/>
        <v>Dec 2024-WEST-22</v>
      </c>
      <c r="K124">
        <f t="shared" si="53"/>
        <v>22</v>
      </c>
      <c r="L124">
        <f t="shared" si="54"/>
        <v>20.55</v>
      </c>
      <c r="M124">
        <f>IF(V124="","",IFERROR(VLOOKUP(TRIM($V124),KEY!$B$2:$E$58,4,FALSE),""))</f>
        <v>55</v>
      </c>
      <c r="N124">
        <f t="shared" si="55"/>
        <v>20</v>
      </c>
      <c r="O124" t="str">
        <f t="shared" si="56"/>
        <v>TO-2</v>
      </c>
      <c r="P124">
        <f t="shared" si="57"/>
        <v>2</v>
      </c>
      <c r="Q124">
        <f t="shared" si="58"/>
        <v>2.0499999999999998</v>
      </c>
      <c r="R124">
        <f t="shared" si="59"/>
        <v>5</v>
      </c>
      <c r="S124">
        <f t="shared" si="60"/>
        <v>2</v>
      </c>
      <c r="T124" t="str">
        <f>IF(V124="","",IFERROR(VLOOKUP(TRIM($V124),KEY!$B$2:$E$58,2,FALSE),""))</f>
        <v>TO</v>
      </c>
      <c r="V124" s="64" t="s">
        <v>52</v>
      </c>
      <c r="W124" s="64">
        <v>12</v>
      </c>
      <c r="X124" s="64">
        <v>2</v>
      </c>
      <c r="Y124" s="64">
        <v>0.16666666666666666</v>
      </c>
      <c r="Z124" s="64">
        <v>0</v>
      </c>
      <c r="AA124" s="64">
        <v>2</v>
      </c>
      <c r="AB124" s="64">
        <v>0</v>
      </c>
      <c r="AC124" s="64">
        <v>0</v>
      </c>
      <c r="AD124" s="64">
        <v>2</v>
      </c>
      <c r="AE124" s="64">
        <v>0.16666666666666666</v>
      </c>
      <c r="AF124" s="64">
        <v>2</v>
      </c>
      <c r="AG124" s="64">
        <v>0</v>
      </c>
      <c r="AH124" s="64">
        <v>8</v>
      </c>
      <c r="AI124" s="64">
        <v>0.83333333333333337</v>
      </c>
      <c r="AJ124" s="64">
        <v>0</v>
      </c>
      <c r="AK124" s="64">
        <v>0</v>
      </c>
      <c r="AL124" s="64">
        <v>0</v>
      </c>
      <c r="AM124" s="64">
        <v>0</v>
      </c>
    </row>
    <row r="125" spans="2:39" x14ac:dyDescent="0.2">
      <c r="B125" t="str">
        <f t="shared" si="46"/>
        <v>AZ-10</v>
      </c>
      <c r="C125" t="str">
        <f t="shared" si="47"/>
        <v>Nov 2024-AZ-10</v>
      </c>
      <c r="D125">
        <f t="shared" si="48"/>
        <v>10</v>
      </c>
      <c r="E125">
        <f t="shared" si="49"/>
        <v>7.18</v>
      </c>
      <c r="F125">
        <f t="shared" si="50"/>
        <v>18</v>
      </c>
      <c r="G125">
        <f t="shared" si="51"/>
        <v>7</v>
      </c>
      <c r="H125" t="str">
        <f>IF(V125="","",IFERROR(VLOOKUP(TRIM($V125),KEY!$B$2:$E$58,3,FALSE),""))</f>
        <v>AZ</v>
      </c>
      <c r="I125" t="str">
        <f t="shared" si="52"/>
        <v>WEST-25</v>
      </c>
      <c r="J125" t="str">
        <f t="shared" si="61"/>
        <v>Dec 2024-WEST-25</v>
      </c>
      <c r="K125">
        <f t="shared" si="53"/>
        <v>25</v>
      </c>
      <c r="L125">
        <f t="shared" si="54"/>
        <v>25.56</v>
      </c>
      <c r="M125">
        <f>IF(V125="","",IFERROR(VLOOKUP(TRIM($V125),KEY!$B$2:$E$58,4,FALSE),""))</f>
        <v>56</v>
      </c>
      <c r="N125">
        <f t="shared" si="55"/>
        <v>25</v>
      </c>
      <c r="O125" t="str">
        <f t="shared" si="56"/>
        <v>VW-1</v>
      </c>
      <c r="P125">
        <f t="shared" si="57"/>
        <v>1</v>
      </c>
      <c r="Q125">
        <f t="shared" si="58"/>
        <v>1.01</v>
      </c>
      <c r="R125">
        <f t="shared" si="59"/>
        <v>1</v>
      </c>
      <c r="S125">
        <f t="shared" si="60"/>
        <v>1</v>
      </c>
      <c r="T125" t="str">
        <f>IF(V125="","",IFERROR(VLOOKUP(TRIM($V125),KEY!$B$2:$E$58,2,FALSE),""))</f>
        <v>VW</v>
      </c>
      <c r="V125" t="s">
        <v>53</v>
      </c>
      <c r="W125">
        <v>10</v>
      </c>
      <c r="X125">
        <v>1</v>
      </c>
      <c r="Y125">
        <v>0.1</v>
      </c>
      <c r="Z125">
        <v>0</v>
      </c>
      <c r="AA125">
        <v>1</v>
      </c>
      <c r="AB125">
        <v>2</v>
      </c>
      <c r="AC125">
        <v>1</v>
      </c>
      <c r="AD125">
        <v>4</v>
      </c>
      <c r="AE125">
        <v>0.4</v>
      </c>
      <c r="AF125">
        <v>2</v>
      </c>
      <c r="AG125">
        <v>0</v>
      </c>
      <c r="AH125">
        <v>0</v>
      </c>
      <c r="AI125">
        <v>0.2</v>
      </c>
      <c r="AJ125">
        <v>0</v>
      </c>
      <c r="AK125">
        <v>4</v>
      </c>
      <c r="AL125">
        <v>0</v>
      </c>
      <c r="AM125">
        <v>0.4</v>
      </c>
    </row>
    <row r="126" spans="2:39" x14ac:dyDescent="0.2">
      <c r="B126" t="str">
        <f t="shared" ref="B126" si="62">IF(V126="","",H126&amp;"-"&amp;D126)</f>
        <v>OC-9</v>
      </c>
      <c r="C126" t="str">
        <f t="shared" ref="C126" si="63">IF(V126="","",$X$1&amp;"-"&amp;B126)</f>
        <v>Dec 2024-OC-9</v>
      </c>
      <c r="D126">
        <f t="shared" ref="D126" si="64">IF(V126="","",COUNTIFS($H$70:$H$126,H126,$E$70:$E$126,"&lt;"&amp;E126)+1)</f>
        <v>9</v>
      </c>
      <c r="E126">
        <f t="shared" ref="E126" si="65">IF(V126="","",G126+(F126/100))</f>
        <v>6.09</v>
      </c>
      <c r="F126">
        <f t="shared" ref="F126" si="66">IF(V126="","",COUNTIFS($H$70:$H$126,H126,$V$70:$V$126,"&lt;"&amp;V126)+1)</f>
        <v>9</v>
      </c>
      <c r="G126">
        <f t="shared" ref="G126" si="67">IF(V126="","",COUNTIFS($H$70:$H$126,H126,$Y$70:$Y$126,"&gt;"&amp;Y126)+1)</f>
        <v>6</v>
      </c>
      <c r="H126" t="str">
        <f>IF(V126="","",IFERROR(VLOOKUP(TRIM($V126),KEY!$B$2:$E$58,3,FALSE),""))</f>
        <v>OC</v>
      </c>
      <c r="I126" t="str">
        <f t="shared" ref="I126" si="68">IF(V126="","","WEST-"&amp;K126)</f>
        <v>WEST-50</v>
      </c>
      <c r="J126" t="str">
        <f t="shared" ref="J126" si="69">IF(V126="","",$X$1&amp;"-"&amp;I126)</f>
        <v>Dec 2024-WEST-50</v>
      </c>
      <c r="K126">
        <f t="shared" ref="K126" si="70">IF(V126="","",RANK(L126,$L$70:$L$126,1))</f>
        <v>50</v>
      </c>
      <c r="L126">
        <f t="shared" ref="L126" si="71">IF(V126="","",N126+(M126/100))</f>
        <v>32.57</v>
      </c>
      <c r="M126">
        <f>IF(V126="","",IFERROR(VLOOKUP(TRIM($V126),KEY!$B$2:$E$58,4,FALSE),""))</f>
        <v>57</v>
      </c>
      <c r="N126">
        <f t="shared" ref="N126" si="72">IF(V126="","",RANK(Y126,$Y$70:$Y$126))</f>
        <v>32</v>
      </c>
      <c r="O126" t="str">
        <f t="shared" ref="O126" si="73">IF(V126="","",T126&amp;"-"&amp;P126)</f>
        <v>VW-2</v>
      </c>
      <c r="P126">
        <f t="shared" ref="P126" si="74">IF(V126="","",COUNTIFS($T$70:$T$126,T126,$Q$70:$Q$126,"&lt;"&amp;Q126)+1)</f>
        <v>2</v>
      </c>
      <c r="Q126">
        <f t="shared" ref="Q126" si="75">IF(V126="","",S126+(R126/100))</f>
        <v>2.02</v>
      </c>
      <c r="R126">
        <f t="shared" ref="R126" si="76">IF(V126="","",COUNTIFS($T$70:$T$126,T126,$V$70:$V$126,"&lt;"&amp;V126)+1)</f>
        <v>2</v>
      </c>
      <c r="S126">
        <f t="shared" ref="S126" si="77">IF(V126="","",COUNTIFS($T$70:$T$126,T126,$Y$70:$Y$126,"&gt;"&amp;Y126)+1)</f>
        <v>2</v>
      </c>
      <c r="T126" t="str">
        <f>IF(V126="","",IFERROR(VLOOKUP(TRIM($V126),KEY!$B$2:$E$58,2,FALSE),""))</f>
        <v>VW</v>
      </c>
      <c r="V126" t="s">
        <v>54</v>
      </c>
      <c r="W126">
        <v>36</v>
      </c>
      <c r="X126">
        <v>0</v>
      </c>
      <c r="Y126">
        <v>0</v>
      </c>
      <c r="Z126">
        <v>3</v>
      </c>
      <c r="AA126">
        <v>0</v>
      </c>
      <c r="AB126">
        <v>1</v>
      </c>
      <c r="AC126">
        <v>2</v>
      </c>
      <c r="AD126">
        <v>6</v>
      </c>
      <c r="AE126">
        <v>0.16666666666666666</v>
      </c>
      <c r="AF126">
        <v>25</v>
      </c>
      <c r="AG126">
        <v>0</v>
      </c>
      <c r="AH126">
        <v>0</v>
      </c>
      <c r="AI126">
        <v>0.69444444444444442</v>
      </c>
      <c r="AJ126">
        <v>5</v>
      </c>
      <c r="AK126">
        <v>0</v>
      </c>
      <c r="AL126">
        <v>0</v>
      </c>
      <c r="AM126">
        <v>0.1388888888888889</v>
      </c>
    </row>
    <row r="127" spans="2:39" x14ac:dyDescent="0.2">
      <c r="W127" s="1">
        <f>SUM(W70:W126)</f>
        <v>1091</v>
      </c>
      <c r="X127" s="1">
        <f>SUM(X70:X126)</f>
        <v>185</v>
      </c>
      <c r="Y127" s="3">
        <f>X127/W127</f>
        <v>0.1695692025664528</v>
      </c>
      <c r="Z127" s="1">
        <f>SUM(Z70:Z126)</f>
        <v>16</v>
      </c>
      <c r="AA127" s="1">
        <f>SUM(AA70:AA126)</f>
        <v>185</v>
      </c>
      <c r="AB127" s="1">
        <f>SUM(AB70:AB126)</f>
        <v>24</v>
      </c>
      <c r="AC127" s="1">
        <f>SUM(AC70:AC126)</f>
        <v>67</v>
      </c>
      <c r="AD127" s="1">
        <f>SUM(AD70:AD126)</f>
        <v>292</v>
      </c>
      <c r="AE127" s="3">
        <f>AD127/W127</f>
        <v>0.26764436296975253</v>
      </c>
      <c r="AF127" s="1">
        <f>SUM(AF70:AF126)</f>
        <v>360</v>
      </c>
      <c r="AG127" s="1">
        <f>SUM(AG70:AG126)</f>
        <v>38</v>
      </c>
      <c r="AH127" s="1">
        <f>SUM(AH70:AH126)</f>
        <v>296</v>
      </c>
      <c r="AI127" s="3">
        <f>(AF127+AG127+AH127)/W127</f>
        <v>0.63611365719523372</v>
      </c>
      <c r="AJ127" s="1">
        <f>SUM(AJ70:AJ126)</f>
        <v>32</v>
      </c>
      <c r="AK127" s="1">
        <f>SUM(AK70:AK126)</f>
        <v>73</v>
      </c>
      <c r="AL127" s="1">
        <f>SUM(AL70:AL126)</f>
        <v>0</v>
      </c>
      <c r="AM127" s="3">
        <f>(AJ127+AK127+AL127)/W127</f>
        <v>9.6241979835013744E-2</v>
      </c>
    </row>
    <row r="128" spans="2:39" x14ac:dyDescent="0.2">
      <c r="J128" t="str">
        <f ca="1">$X$1&amp;"-"&amp;O128</f>
        <v>Dec 2024-RGN-3</v>
      </c>
      <c r="N128" t="s">
        <v>98</v>
      </c>
      <c r="O128" t="str">
        <f ca="1">T128&amp;"-"&amp;P128</f>
        <v>RGN-3</v>
      </c>
      <c r="P128">
        <f ca="1">COUNTIFS($T$128:$T$132,T128,$Q$128:$Q$132,"&lt;"&amp;Q128)+1</f>
        <v>3</v>
      </c>
      <c r="Q128">
        <f t="shared" ref="Q128:Q132" ca="1" si="78">S128+(R128/100)</f>
        <v>3.01</v>
      </c>
      <c r="R128">
        <f>COUNTIFS($T$128:$T$132,T128,$V$128:$V$132,"&lt;"&amp;V128)+1</f>
        <v>1</v>
      </c>
      <c r="S128">
        <f ca="1">COUNTIFS($T$128:$T$132,T128,$Y$128:$Y$132,"&gt;"&amp;Y128)+1</f>
        <v>3</v>
      </c>
      <c r="T128" t="s">
        <v>158</v>
      </c>
      <c r="V128" t="s">
        <v>247</v>
      </c>
      <c r="W128" s="1">
        <f ca="1">SUMIF($H$70:W$126,$N128,W$70:W$126)</f>
        <v>222</v>
      </c>
      <c r="X128" s="1">
        <f ca="1">SUMIF($H$70:X$126,$N128,X$70:X$126)</f>
        <v>33</v>
      </c>
      <c r="Y128" s="3">
        <f t="shared" ref="Y128:Y132" ca="1" si="79">X128/W128</f>
        <v>0.14864864864864866</v>
      </c>
      <c r="Z128" s="1">
        <f ca="1">SUMIF($H$70:Z$126,$N128,Z$70:Z$126)</f>
        <v>3</v>
      </c>
      <c r="AA128" s="1">
        <f ca="1">SUMIF($H$70:AA$126,$N128,AA$70:AA$126)</f>
        <v>33</v>
      </c>
      <c r="AB128" s="1">
        <f ca="1">SUMIF($H$70:AB$126,$N128,AB$70:AB$126)</f>
        <v>6</v>
      </c>
      <c r="AC128" s="1">
        <f ca="1">SUMIF($H$70:AC$126,$N128,AC$70:AC$126)</f>
        <v>12</v>
      </c>
      <c r="AD128" s="1">
        <f ca="1">SUMIF($H$70:AD$126,$N128,AD$70:AD$126)</f>
        <v>54</v>
      </c>
      <c r="AE128" s="3">
        <f t="shared" ref="AE128:AE132" ca="1" si="80">AD128/W128</f>
        <v>0.24324324324324326</v>
      </c>
      <c r="AF128" s="1">
        <f ca="1">SUMIF($H$70:AF$126,$N128,AF$70:AF$126)</f>
        <v>49</v>
      </c>
      <c r="AG128" s="1">
        <f ca="1">SUMIF($H$70:AG$126,$N128,AG$70:AG$126)</f>
        <v>0</v>
      </c>
      <c r="AH128" s="1">
        <f ca="1">SUMIF($H$70:AH$126,$N128,AH$70:AH$126)</f>
        <v>91</v>
      </c>
      <c r="AI128" s="3">
        <f t="shared" ref="AI128:AI132" ca="1" si="81">(AF128+AG128+AH128)/W128</f>
        <v>0.63063063063063063</v>
      </c>
      <c r="AJ128" s="1">
        <f ca="1">SUMIF($H$70:AJ$126,$N128,AJ$70:AJ$126)</f>
        <v>10</v>
      </c>
      <c r="AK128" s="1">
        <f ca="1">SUMIF($H$70:AK$126,$N128,AK$70:AK$126)</f>
        <v>18</v>
      </c>
      <c r="AL128" s="1">
        <f ca="1">SUMIF($H$70:AL$126,$N128,AL$70:AL$126)</f>
        <v>0</v>
      </c>
      <c r="AM128" s="3">
        <f t="shared" ref="AM128:AM132" ca="1" si="82">(AJ128+AK128+AL128)/W128</f>
        <v>0.12612612612612611</v>
      </c>
    </row>
    <row r="129" spans="1:39" x14ac:dyDescent="0.2">
      <c r="J129" t="str">
        <f t="shared" ref="J129:J132" ca="1" si="83">$X$1&amp;"-"&amp;O129</f>
        <v>Dec 2024-RGN-5</v>
      </c>
      <c r="N129" t="s">
        <v>102</v>
      </c>
      <c r="O129" t="str">
        <f ca="1">T129&amp;"-"&amp;P129</f>
        <v>RGN-5</v>
      </c>
      <c r="P129">
        <f ca="1">COUNTIFS($T$128:$T$132,T129,$Q$128:$Q$132,"&lt;"&amp;Q129)+1</f>
        <v>5</v>
      </c>
      <c r="Q129">
        <f t="shared" ca="1" si="78"/>
        <v>5.0199999999999996</v>
      </c>
      <c r="R129">
        <f>COUNTIFS($T$128:$T$132,T129,$V$128:$V$132,"&lt;"&amp;V129)+1</f>
        <v>2</v>
      </c>
      <c r="S129">
        <f ca="1">COUNTIFS($T$128:$T$132,T129,$Y$128:$Y$132,"&gt;"&amp;Y129)+1</f>
        <v>5</v>
      </c>
      <c r="T129" t="s">
        <v>158</v>
      </c>
      <c r="V129" t="s">
        <v>268</v>
      </c>
      <c r="W129" s="1">
        <f ca="1">SUMIF($H$70:W$126,$N129,W$70:W$126)</f>
        <v>179</v>
      </c>
      <c r="X129" s="1">
        <f ca="1">SUMIF($H$70:X$126,$N129,X$70:X$126)</f>
        <v>10</v>
      </c>
      <c r="Y129" s="3">
        <f t="shared" ca="1" si="79"/>
        <v>5.5865921787709494E-2</v>
      </c>
      <c r="Z129" s="1">
        <f ca="1">SUMIF($H$70:Z$126,$N129,Z$70:Z$126)</f>
        <v>1</v>
      </c>
      <c r="AA129" s="1">
        <f ca="1">SUMIF($H$70:AA$126,$N129,AA$70:AA$126)</f>
        <v>10</v>
      </c>
      <c r="AB129" s="1">
        <f ca="1">SUMIF($H$70:AB$126,$N129,AB$70:AB$126)</f>
        <v>2</v>
      </c>
      <c r="AC129" s="1">
        <f ca="1">SUMIF($H$70:AC$126,$N129,AC$70:AC$126)</f>
        <v>7</v>
      </c>
      <c r="AD129" s="1">
        <f ca="1">SUMIF($H$70:AD$126,$N129,AD$70:AD$126)</f>
        <v>20</v>
      </c>
      <c r="AE129" s="3">
        <f t="shared" ca="1" si="80"/>
        <v>0.11173184357541899</v>
      </c>
      <c r="AF129" s="1">
        <f ca="1">SUMIF($H$70:AF$126,$N129,AF$70:AF$126)</f>
        <v>97</v>
      </c>
      <c r="AG129" s="1">
        <f ca="1">SUMIF($H$70:AG$126,$N129,AG$70:AG$126)</f>
        <v>0</v>
      </c>
      <c r="AH129" s="1">
        <f ca="1">SUMIF($H$70:AH$126,$N129,AH$70:AH$126)</f>
        <v>53</v>
      </c>
      <c r="AI129" s="3">
        <f t="shared" ca="1" si="81"/>
        <v>0.83798882681564246</v>
      </c>
      <c r="AJ129" s="1">
        <f ca="1">SUMIF($H$70:AJ$126,$N129,AJ$70:AJ$126)</f>
        <v>0</v>
      </c>
      <c r="AK129" s="1">
        <f ca="1">SUMIF($H$70:AK$126,$N129,AK$70:AK$126)</f>
        <v>9</v>
      </c>
      <c r="AL129" s="1">
        <f ca="1">SUMIF($H$70:AL$126,$N129,AL$70:AL$126)</f>
        <v>0</v>
      </c>
      <c r="AM129" s="3">
        <f t="shared" ca="1" si="82"/>
        <v>5.027932960893855E-2</v>
      </c>
    </row>
    <row r="130" spans="1:39" x14ac:dyDescent="0.2">
      <c r="J130" t="str">
        <f t="shared" ca="1" si="83"/>
        <v>Dec 2024-RGN-2</v>
      </c>
      <c r="N130" t="s">
        <v>100</v>
      </c>
      <c r="O130" t="str">
        <f ca="1">T130&amp;"-"&amp;P130</f>
        <v>RGN-2</v>
      </c>
      <c r="P130">
        <f ca="1">COUNTIFS($T$128:$T$132,T130,$Q$128:$Q$132,"&lt;"&amp;Q130)+1</f>
        <v>2</v>
      </c>
      <c r="Q130">
        <f t="shared" ca="1" si="78"/>
        <v>2.0299999999999998</v>
      </c>
      <c r="R130">
        <f>COUNTIFS($T$128:$T$132,T130,$V$128:$V$132,"&lt;"&amp;V130)+1</f>
        <v>3</v>
      </c>
      <c r="S130">
        <f ca="1">COUNTIFS($T$128:$T$132,T130,$Y$128:$Y$132,"&gt;"&amp;Y130)+1</f>
        <v>2</v>
      </c>
      <c r="T130" t="s">
        <v>158</v>
      </c>
      <c r="V130" t="s">
        <v>251</v>
      </c>
      <c r="W130" s="1">
        <f ca="1">SUMIF($H$70:W$126,$N130,W$70:W$126)</f>
        <v>288</v>
      </c>
      <c r="X130" s="1">
        <f ca="1">SUMIF($H$70:X$126,$N130,X$70:X$126)</f>
        <v>62</v>
      </c>
      <c r="Y130" s="3">
        <f t="shared" ca="1" si="79"/>
        <v>0.21527777777777779</v>
      </c>
      <c r="Z130" s="1">
        <f ca="1">SUMIF($H$70:Z$126,$N130,Z$70:Z$126)</f>
        <v>4</v>
      </c>
      <c r="AA130" s="1">
        <f ca="1">SUMIF($H$70:AA$126,$N130,AA$70:AA$126)</f>
        <v>62</v>
      </c>
      <c r="AB130" s="1">
        <f ca="1">SUMIF($H$70:AB$126,$N130,AB$70:AB$126)</f>
        <v>3</v>
      </c>
      <c r="AC130" s="1">
        <f ca="1">SUMIF($H$70:AC$126,$N130,AC$70:AC$126)</f>
        <v>10</v>
      </c>
      <c r="AD130" s="1">
        <f ca="1">SUMIF($H$70:AD$126,$N130,AD$70:AD$126)</f>
        <v>79</v>
      </c>
      <c r="AE130" s="3">
        <f t="shared" ca="1" si="80"/>
        <v>0.27430555555555558</v>
      </c>
      <c r="AF130" s="1">
        <f ca="1">SUMIF($H$70:AF$126,$N130,AF$70:AF$126)</f>
        <v>118</v>
      </c>
      <c r="AG130" s="1">
        <f ca="1">SUMIF($H$70:AG$126,$N130,AG$70:AG$126)</f>
        <v>36</v>
      </c>
      <c r="AH130" s="1">
        <f ca="1">SUMIF($H$70:AH$126,$N130,AH$70:AH$126)</f>
        <v>37</v>
      </c>
      <c r="AI130" s="3">
        <f t="shared" ca="1" si="81"/>
        <v>0.66319444444444442</v>
      </c>
      <c r="AJ130" s="1">
        <f ca="1">SUMIF($H$70:AJ$126,$N130,AJ$70:AJ$126)</f>
        <v>10</v>
      </c>
      <c r="AK130" s="1">
        <f ca="1">SUMIF($H$70:AK$126,$N130,AK$70:AK$126)</f>
        <v>8</v>
      </c>
      <c r="AL130" s="1">
        <f ca="1">SUMIF($H$70:AL$126,$N130,AL$70:AL$126)</f>
        <v>0</v>
      </c>
      <c r="AM130" s="3">
        <f t="shared" ca="1" si="82"/>
        <v>6.25E-2</v>
      </c>
    </row>
    <row r="131" spans="1:39" x14ac:dyDescent="0.2">
      <c r="J131" t="str">
        <f t="shared" ca="1" si="83"/>
        <v>Dec 2024-RGN-4</v>
      </c>
      <c r="N131" t="s">
        <v>99</v>
      </c>
      <c r="O131" t="str">
        <f ca="1">T131&amp;"-"&amp;P131</f>
        <v>RGN-4</v>
      </c>
      <c r="P131">
        <f ca="1">COUNTIFS($T$128:$T$132,T131,$Q$128:$Q$132,"&lt;"&amp;Q131)+1</f>
        <v>4</v>
      </c>
      <c r="Q131">
        <f t="shared" ca="1" si="78"/>
        <v>4.04</v>
      </c>
      <c r="R131">
        <f>COUNTIFS($T$128:$T$132,T131,$V$128:$V$132,"&lt;"&amp;V131)+1</f>
        <v>4</v>
      </c>
      <c r="S131">
        <f ca="1">COUNTIFS($T$128:$T$132,T131,$Y$128:$Y$132,"&gt;"&amp;Y131)+1</f>
        <v>4</v>
      </c>
      <c r="T131" t="s">
        <v>158</v>
      </c>
      <c r="V131" t="s">
        <v>269</v>
      </c>
      <c r="W131" s="1">
        <f ca="1">SUMIF($H$70:W$126,$N131,W$70:W$126)</f>
        <v>242</v>
      </c>
      <c r="X131" s="1">
        <f ca="1">SUMIF($H$70:X$126,$N131,X$70:X$126)</f>
        <v>35</v>
      </c>
      <c r="Y131" s="3">
        <f t="shared" ca="1" si="79"/>
        <v>0.14462809917355371</v>
      </c>
      <c r="Z131" s="1">
        <f ca="1">SUMIF($H$70:Z$126,$N131,Z$70:Z$126)</f>
        <v>3</v>
      </c>
      <c r="AA131" s="1">
        <f ca="1">SUMIF($H$70:AA$126,$N131,AA$70:AA$126)</f>
        <v>35</v>
      </c>
      <c r="AB131" s="1">
        <f ca="1">SUMIF($H$70:AB$126,$N131,AB$70:AB$126)</f>
        <v>11</v>
      </c>
      <c r="AC131" s="1">
        <f ca="1">SUMIF($H$70:AC$126,$N131,AC$70:AC$126)</f>
        <v>15</v>
      </c>
      <c r="AD131" s="1">
        <f ca="1">SUMIF($H$70:AD$126,$N131,AD$70:AD$126)</f>
        <v>64</v>
      </c>
      <c r="AE131" s="3">
        <f t="shared" ca="1" si="80"/>
        <v>0.26446280991735538</v>
      </c>
      <c r="AF131" s="1">
        <f ca="1">SUMIF($H$70:AF$126,$N131,AF$70:AF$126)</f>
        <v>40</v>
      </c>
      <c r="AG131" s="1">
        <f ca="1">SUMIF($H$70:AG$126,$N131,AG$70:AG$126)</f>
        <v>1</v>
      </c>
      <c r="AH131" s="1">
        <f ca="1">SUMIF($H$70:AH$126,$N131,AH$70:AH$126)</f>
        <v>110</v>
      </c>
      <c r="AI131" s="3">
        <f t="shared" ca="1" si="81"/>
        <v>0.62396694214876036</v>
      </c>
      <c r="AJ131" s="1">
        <f ca="1">SUMIF($H$70:AJ$126,$N131,AJ$70:AJ$126)</f>
        <v>10</v>
      </c>
      <c r="AK131" s="1">
        <f ca="1">SUMIF($H$70:AK$126,$N131,AK$70:AK$126)</f>
        <v>17</v>
      </c>
      <c r="AL131" s="1">
        <f ca="1">SUMIF($H$70:AL$126,$N131,AL$70:AL$126)</f>
        <v>0</v>
      </c>
      <c r="AM131" s="3">
        <f t="shared" ca="1" si="82"/>
        <v>0.1115702479338843</v>
      </c>
    </row>
    <row r="132" spans="1:39" x14ac:dyDescent="0.2">
      <c r="J132" t="str">
        <f t="shared" ca="1" si="83"/>
        <v>Dec 2024-RGN-1</v>
      </c>
      <c r="N132" t="s">
        <v>101</v>
      </c>
      <c r="O132" t="str">
        <f ca="1">T132&amp;"-"&amp;P132</f>
        <v>RGN-1</v>
      </c>
      <c r="P132">
        <f ca="1">COUNTIFS($T$128:$T$132,T132,$Q$128:$Q$132,"&lt;"&amp;Q132)+1</f>
        <v>1</v>
      </c>
      <c r="Q132">
        <f t="shared" ca="1" si="78"/>
        <v>1.05</v>
      </c>
      <c r="R132">
        <f>COUNTIFS($T$128:$T$132,T132,$V$128:$V$132,"&lt;"&amp;V132)+1</f>
        <v>5</v>
      </c>
      <c r="S132">
        <f ca="1">COUNTIFS($T$128:$T$132,T132,$Y$128:$Y$132,"&gt;"&amp;Y132)+1</f>
        <v>1</v>
      </c>
      <c r="T132" t="s">
        <v>158</v>
      </c>
      <c r="V132" t="s">
        <v>252</v>
      </c>
      <c r="W132" s="1">
        <f ca="1">SUMIF($H$70:W$126,$N132,W$70:W$126)</f>
        <v>160</v>
      </c>
      <c r="X132" s="1">
        <f ca="1">SUMIF($H$70:X$126,$N132,X$70:X$126)</f>
        <v>45</v>
      </c>
      <c r="Y132" s="3">
        <f t="shared" ca="1" si="79"/>
        <v>0.28125</v>
      </c>
      <c r="Z132" s="1">
        <f ca="1">SUMIF($H$70:Z$126,$N132,Z$70:Z$126)</f>
        <v>5</v>
      </c>
      <c r="AA132" s="1">
        <f ca="1">SUMIF($H$70:AA$126,$N132,AA$70:AA$126)</f>
        <v>45</v>
      </c>
      <c r="AB132" s="1">
        <f ca="1">SUMIF($H$70:AB$126,$N132,AB$70:AB$126)</f>
        <v>2</v>
      </c>
      <c r="AC132" s="1">
        <f ca="1">SUMIF($H$70:AC$126,$N132,AC$70:AC$126)</f>
        <v>23</v>
      </c>
      <c r="AD132" s="1">
        <f ca="1">SUMIF($H$70:AD$126,$N132,AD$70:AD$126)</f>
        <v>75</v>
      </c>
      <c r="AE132" s="3">
        <f t="shared" ca="1" si="80"/>
        <v>0.46875</v>
      </c>
      <c r="AF132" s="1">
        <f ca="1">SUMIF($H$70:AF$126,$N132,AF$70:AF$126)</f>
        <v>56</v>
      </c>
      <c r="AG132" s="1">
        <f ca="1">SUMIF($H$70:AG$126,$N132,AG$70:AG$126)</f>
        <v>1</v>
      </c>
      <c r="AH132" s="1">
        <f ca="1">SUMIF($H$70:AH$126,$N132,AH$70:AH$126)</f>
        <v>5</v>
      </c>
      <c r="AI132" s="3">
        <f t="shared" ca="1" si="81"/>
        <v>0.38750000000000001</v>
      </c>
      <c r="AJ132" s="1">
        <f ca="1">SUMIF($H$70:AJ$126,$N132,AJ$70:AJ$126)</f>
        <v>2</v>
      </c>
      <c r="AK132" s="1">
        <f ca="1">SUMIF($H$70:AK$126,$N132,AK$70:AK$126)</f>
        <v>21</v>
      </c>
      <c r="AL132" s="1">
        <f ca="1">SUMIF($H$70:AL$126,$N132,AL$70:AL$126)</f>
        <v>0</v>
      </c>
      <c r="AM132" s="3">
        <f t="shared" ca="1" si="82"/>
        <v>0.14374999999999999</v>
      </c>
    </row>
    <row r="134" spans="1:39" ht="16" customHeight="1" x14ac:dyDescent="0.2">
      <c r="A134" s="2"/>
      <c r="B134" s="2"/>
      <c r="C134" s="86" t="str">
        <f>Y1</f>
        <v>Jan 2024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</row>
    <row r="135" spans="1:39" x14ac:dyDescent="0.2">
      <c r="A135" s="2"/>
      <c r="B135" s="2" t="s">
        <v>105</v>
      </c>
      <c r="C135" s="2"/>
      <c r="D135" s="2"/>
      <c r="E135" s="2"/>
      <c r="F135" s="2"/>
      <c r="G135" s="2"/>
      <c r="H135" s="2"/>
      <c r="I135" s="2" t="s">
        <v>103</v>
      </c>
      <c r="J135" s="2"/>
      <c r="K135" s="2"/>
      <c r="L135" s="2"/>
      <c r="M135" s="2"/>
      <c r="N135" s="2"/>
      <c r="O135" s="2" t="s">
        <v>104</v>
      </c>
      <c r="P135" s="2"/>
      <c r="Q135" s="2"/>
      <c r="R135" s="2"/>
      <c r="S135" s="2"/>
      <c r="T135" s="2"/>
      <c r="U135" s="2"/>
      <c r="V135" s="2" t="s">
        <v>0</v>
      </c>
      <c r="W135" s="2" t="s">
        <v>2</v>
      </c>
      <c r="X135" s="2" t="s">
        <v>75</v>
      </c>
      <c r="Y135" s="2" t="s">
        <v>218</v>
      </c>
      <c r="Z135" s="2" t="s">
        <v>74</v>
      </c>
      <c r="AA135" s="2" t="s">
        <v>75</v>
      </c>
      <c r="AB135" s="2" t="s">
        <v>76</v>
      </c>
      <c r="AC135" s="2" t="s">
        <v>77</v>
      </c>
      <c r="AD135" s="2" t="s">
        <v>3</v>
      </c>
      <c r="AE135" s="2" t="s">
        <v>1</v>
      </c>
      <c r="AF135" s="2" t="s">
        <v>4</v>
      </c>
      <c r="AG135" s="2" t="s">
        <v>5</v>
      </c>
      <c r="AH135" s="2" t="s">
        <v>6</v>
      </c>
      <c r="AI135" s="2" t="s">
        <v>7</v>
      </c>
      <c r="AJ135" s="2" t="s">
        <v>78</v>
      </c>
      <c r="AK135" s="2" t="s">
        <v>79</v>
      </c>
      <c r="AL135" s="2" t="s">
        <v>80</v>
      </c>
      <c r="AM135" s="2" t="s">
        <v>8</v>
      </c>
    </row>
    <row r="136" spans="1:39" x14ac:dyDescent="0.2">
      <c r="B136" t="str">
        <f>IF(V136="","",H136&amp;"-"&amp;D136)</f>
        <v>AZ-1</v>
      </c>
      <c r="C136" t="str">
        <f>IF(V136="","",$W$1&amp;"-"&amp;B136)</f>
        <v>Nov 2024-AZ-1</v>
      </c>
      <c r="D136">
        <f>IF(V136="","",COUNTIFS($H$136:$H$192,H136,$E$136:$E$192,"&lt;"&amp;E136)+1)</f>
        <v>1</v>
      </c>
      <c r="E136">
        <f>IF(V136="","",G136+(F136/100))</f>
        <v>1.01</v>
      </c>
      <c r="F136">
        <f>IF(V136="","",COUNTIFS($H$136:$H$192,H136,$V$136:$V$192,"&lt;"&amp;V136)+1)</f>
        <v>1</v>
      </c>
      <c r="G136">
        <f>IF(V136="","",COUNTIFS($H$136:$H$192,H136,$Y$136:$Y$192,"&gt;"&amp;Y136)+1)</f>
        <v>1</v>
      </c>
      <c r="H136" t="str">
        <f>IF(V136="","",IFERROR(VLOOKUP(TRIM($V136),KEY!$B$2:$E$58,3,FALSE),""))</f>
        <v>AZ</v>
      </c>
      <c r="I136" t="str">
        <f>IF(V136="","","WEST-"&amp;K136)</f>
        <v>WEST-2</v>
      </c>
      <c r="J136" t="str">
        <f t="shared" ref="J136:J167" si="84">IF(V136="","",$Y$1&amp;"-"&amp;I136)</f>
        <v>Jan 2024-WEST-2</v>
      </c>
      <c r="K136">
        <f>IFERROR(IF(V136="","",RANK(L136,$L$136:$L$192,1)),"-")</f>
        <v>2</v>
      </c>
      <c r="L136">
        <f>IFERROR(IF(V136="","",N136+(M136/100)),"-")</f>
        <v>2.0099999999999998</v>
      </c>
      <c r="M136">
        <f>IF(V136="","",IFERROR(VLOOKUP(TRIM($V136),KEY!$B$2:$E$58,4,FALSE),""))</f>
        <v>1</v>
      </c>
      <c r="N136">
        <f>IFERROR(IF(V136="","",RANK(Y136,$Y$136:$Y$192)),"-")</f>
        <v>2</v>
      </c>
      <c r="O136" t="str">
        <f>IF(V136="","",T136&amp;"-"&amp;P136)</f>
        <v>AC-1</v>
      </c>
      <c r="P136">
        <f>IF(V136="","",COUNTIFS($T$136:$T$192,T136,$Q$136:$Q$192,"&lt;"&amp;Q136)+1)</f>
        <v>1</v>
      </c>
      <c r="Q136">
        <f>IF(V136="","",S136+(R136/100))</f>
        <v>1.01</v>
      </c>
      <c r="R136">
        <f>IF(V136="","",COUNTIFS($T$136:$T$192,T136,$V$136:$V$192,"&lt;"&amp;V136)+1)</f>
        <v>1</v>
      </c>
      <c r="S136">
        <f>IF(V136="","",COUNTIFS($T$136:$T$192,T136,$Y$136:$Y$192,"&gt;"&amp;Y136)+1)</f>
        <v>1</v>
      </c>
      <c r="T136" t="str">
        <f>IF(V136="","",IFERROR(VLOOKUP(TRIM($V136),KEY!$B$2:$E$58,2,FALSE),""))</f>
        <v>AC</v>
      </c>
      <c r="V136" s="64" t="s">
        <v>9</v>
      </c>
      <c r="W136" s="64">
        <v>3</v>
      </c>
      <c r="X136" s="64">
        <v>1</v>
      </c>
      <c r="Y136" s="64">
        <v>0.33333333333333331</v>
      </c>
      <c r="Z136" s="64">
        <v>0</v>
      </c>
      <c r="AA136" s="64">
        <v>1</v>
      </c>
      <c r="AB136" s="64">
        <v>0</v>
      </c>
      <c r="AC136" s="64">
        <v>0</v>
      </c>
      <c r="AD136" s="64">
        <v>1</v>
      </c>
      <c r="AE136" s="64">
        <v>0.33333333333333331</v>
      </c>
      <c r="AF136" s="64">
        <v>2</v>
      </c>
      <c r="AG136" s="64">
        <v>0</v>
      </c>
      <c r="AH136" s="64">
        <v>0</v>
      </c>
      <c r="AI136" s="64">
        <v>0.66666666666666663</v>
      </c>
      <c r="AJ136" s="64">
        <v>0</v>
      </c>
      <c r="AK136" s="64">
        <v>0</v>
      </c>
      <c r="AL136" s="64">
        <v>0</v>
      </c>
      <c r="AM136" s="64">
        <v>0</v>
      </c>
    </row>
    <row r="137" spans="1:39" x14ac:dyDescent="0.2">
      <c r="B137" t="str">
        <f t="shared" ref="B137:B192" si="85">IF(V137="","",H137&amp;"-"&amp;D137)</f>
        <v>SoCal-6</v>
      </c>
      <c r="C137" t="str">
        <f t="shared" ref="C137:C192" si="86">IF(V137="","",$W$1&amp;"-"&amp;B137)</f>
        <v>Nov 2024-SoCal-6</v>
      </c>
      <c r="D137">
        <f t="shared" ref="D137:D192" si="87">IF(V137="","",COUNTIFS($H$136:$H$192,H137,$E$136:$E$192,"&lt;"&amp;E137)+1)</f>
        <v>6</v>
      </c>
      <c r="E137">
        <f t="shared" ref="E137:E192" si="88">IF(V137="","",G137+(F137/100))</f>
        <v>6.01</v>
      </c>
      <c r="F137">
        <f t="shared" ref="F137:F192" si="89">IF(V137="","",COUNTIFS($H$136:$H$192,H137,$V$136:$V$192,"&lt;"&amp;V137)+1)</f>
        <v>1</v>
      </c>
      <c r="G137">
        <f t="shared" ref="G137:G192" si="90">IF(V137="","",COUNTIFS($H$136:$H$192,H137,$Y$136:$Y$192,"&gt;"&amp;Y137)+1)</f>
        <v>6</v>
      </c>
      <c r="H137" t="str">
        <f>IF(V137="","",IFERROR(VLOOKUP(TRIM($V137),KEY!$B$2:$E$58,3,FALSE),""))</f>
        <v>SoCal</v>
      </c>
      <c r="I137" t="str">
        <f t="shared" ref="I137:I192" si="91">IF(V137="","","WEST-"&amp;K137)</f>
        <v>WEST-26</v>
      </c>
      <c r="J137" t="str">
        <f t="shared" si="84"/>
        <v>Jan 2024-WEST-26</v>
      </c>
      <c r="K137">
        <f t="shared" ref="K137:K192" si="92">IFERROR(IF(V137="","",RANK(L137,$L$136:$L$192,1)),"-")</f>
        <v>26</v>
      </c>
      <c r="L137">
        <f t="shared" ref="L137:L192" si="93">IFERROR(IF(V137="","",N137+(M137/100)),"-")</f>
        <v>26.02</v>
      </c>
      <c r="M137">
        <f>IF(V137="","",IFERROR(VLOOKUP(TRIM($V137),KEY!$B$2:$E$58,4,FALSE),""))</f>
        <v>2</v>
      </c>
      <c r="N137">
        <f t="shared" ref="N137:N192" si="94">IFERROR(IF(V137="","",RANK(Y137,$Y$136:$Y$192)),"-")</f>
        <v>26</v>
      </c>
      <c r="O137" t="str">
        <f t="shared" ref="O137:O192" si="95">IF(V137="","",T137&amp;"-"&amp;P137)</f>
        <v>AC-3</v>
      </c>
      <c r="P137">
        <f t="shared" ref="P137:P192" si="96">IF(V137="","",COUNTIFS($T$136:$T$192,T137,$Q$136:$Q$192,"&lt;"&amp;Q137)+1)</f>
        <v>3</v>
      </c>
      <c r="Q137">
        <f t="shared" ref="Q137:Q192" si="97">IF(V137="","",S137+(R137/100))</f>
        <v>3.02</v>
      </c>
      <c r="R137">
        <f t="shared" ref="R137:R192" si="98">IF(V137="","",COUNTIFS($T$136:$T$192,T137,$V$136:$V$192,"&lt;"&amp;V137)+1)</f>
        <v>2</v>
      </c>
      <c r="S137">
        <f t="shared" ref="S137:S192" si="99">IF(V137="","",COUNTIFS($T$136:$T$192,T137,$Y$136:$Y$192,"&gt;"&amp;Y137)+1)</f>
        <v>3</v>
      </c>
      <c r="T137" t="str">
        <f>IF(V137="","",IFERROR(VLOOKUP(TRIM($V137),KEY!$B$2:$E$58,2,FALSE),""))</f>
        <v>AC</v>
      </c>
      <c r="V137" s="64" t="s">
        <v>10</v>
      </c>
      <c r="W137" s="64">
        <v>4</v>
      </c>
      <c r="X137" s="64">
        <v>0</v>
      </c>
      <c r="Y137" s="64">
        <v>0</v>
      </c>
      <c r="Z137" s="64">
        <v>0</v>
      </c>
      <c r="AA137" s="64">
        <v>0</v>
      </c>
      <c r="AB137" s="64">
        <v>0</v>
      </c>
      <c r="AC137" s="64">
        <v>0</v>
      </c>
      <c r="AD137" s="64">
        <v>0</v>
      </c>
      <c r="AE137" s="64">
        <v>0</v>
      </c>
      <c r="AF137" s="64">
        <v>0</v>
      </c>
      <c r="AG137" s="64">
        <v>0</v>
      </c>
      <c r="AH137" s="64">
        <v>4</v>
      </c>
      <c r="AI137" s="64">
        <v>1</v>
      </c>
      <c r="AJ137" s="64">
        <v>0</v>
      </c>
      <c r="AK137" s="64">
        <v>0</v>
      </c>
      <c r="AL137" s="64">
        <v>0</v>
      </c>
      <c r="AM137" s="64">
        <v>0</v>
      </c>
    </row>
    <row r="138" spans="1:39" x14ac:dyDescent="0.2">
      <c r="B138" t="str">
        <f t="shared" si="85"/>
        <v>AZ-6</v>
      </c>
      <c r="C138" t="str">
        <f t="shared" si="86"/>
        <v>Nov 2024-AZ-6</v>
      </c>
      <c r="D138">
        <f t="shared" si="87"/>
        <v>6</v>
      </c>
      <c r="E138">
        <f t="shared" si="88"/>
        <v>4.0199999999999996</v>
      </c>
      <c r="F138">
        <f t="shared" si="89"/>
        <v>2</v>
      </c>
      <c r="G138">
        <f t="shared" si="90"/>
        <v>4</v>
      </c>
      <c r="H138" t="str">
        <f>IF(V138="","",IFERROR(VLOOKUP(TRIM($V138),KEY!$B$2:$E$58,3,FALSE),""))</f>
        <v>AZ</v>
      </c>
      <c r="I138" t="str">
        <f t="shared" si="91"/>
        <v>WEST-15</v>
      </c>
      <c r="J138" t="str">
        <f t="shared" si="84"/>
        <v>Jan 2024-WEST-15</v>
      </c>
      <c r="K138">
        <f t="shared" si="92"/>
        <v>15</v>
      </c>
      <c r="L138">
        <f t="shared" si="93"/>
        <v>15.03</v>
      </c>
      <c r="M138">
        <f>IF(V138="","",IFERROR(VLOOKUP(TRIM($V138),KEY!$B$2:$E$58,4,FALSE),""))</f>
        <v>3</v>
      </c>
      <c r="N138">
        <f t="shared" si="94"/>
        <v>15</v>
      </c>
      <c r="O138" t="str">
        <f t="shared" si="95"/>
        <v>AU-2</v>
      </c>
      <c r="P138">
        <f t="shared" si="96"/>
        <v>2</v>
      </c>
      <c r="Q138">
        <f t="shared" si="97"/>
        <v>2.0099999999999998</v>
      </c>
      <c r="R138">
        <f t="shared" si="98"/>
        <v>1</v>
      </c>
      <c r="S138">
        <f t="shared" si="99"/>
        <v>2</v>
      </c>
      <c r="T138" t="str">
        <f>IF(V138="","",IFERROR(VLOOKUP(TRIM($V138),KEY!$B$2:$E$58,2,FALSE),""))</f>
        <v>AU</v>
      </c>
      <c r="V138" s="64" t="s">
        <v>11</v>
      </c>
      <c r="W138" s="64">
        <v>9</v>
      </c>
      <c r="X138" s="64">
        <v>1</v>
      </c>
      <c r="Y138" s="64">
        <v>0.1111111111111111</v>
      </c>
      <c r="Z138" s="64">
        <v>0</v>
      </c>
      <c r="AA138" s="64">
        <v>1</v>
      </c>
      <c r="AB138" s="64">
        <v>0</v>
      </c>
      <c r="AC138" s="64">
        <v>1</v>
      </c>
      <c r="AD138" s="64">
        <v>2</v>
      </c>
      <c r="AE138" s="64">
        <v>0.22222222222222221</v>
      </c>
      <c r="AF138" s="64">
        <v>7</v>
      </c>
      <c r="AG138" s="64">
        <v>0</v>
      </c>
      <c r="AH138" s="64">
        <v>0</v>
      </c>
      <c r="AI138" s="64">
        <v>0.77777777777777779</v>
      </c>
      <c r="AJ138" s="64">
        <v>0</v>
      </c>
      <c r="AK138" s="64">
        <v>0</v>
      </c>
      <c r="AL138" s="64">
        <v>0</v>
      </c>
      <c r="AM138" s="64">
        <v>0</v>
      </c>
    </row>
    <row r="139" spans="1:39" x14ac:dyDescent="0.2">
      <c r="B139" t="str">
        <f t="shared" si="85"/>
        <v>SoCal-7</v>
      </c>
      <c r="C139" t="str">
        <f t="shared" si="86"/>
        <v>Nov 2024-SoCal-7</v>
      </c>
      <c r="D139">
        <f t="shared" si="87"/>
        <v>7</v>
      </c>
      <c r="E139">
        <f t="shared" si="88"/>
        <v>6.02</v>
      </c>
      <c r="F139">
        <f t="shared" si="89"/>
        <v>2</v>
      </c>
      <c r="G139">
        <f t="shared" si="90"/>
        <v>6</v>
      </c>
      <c r="H139" t="str">
        <f>IF(V139="","",IFERROR(VLOOKUP(TRIM($V139),KEY!$B$2:$E$58,3,FALSE),""))</f>
        <v>SoCal</v>
      </c>
      <c r="I139" t="str">
        <f t="shared" si="91"/>
        <v>WEST-27</v>
      </c>
      <c r="J139" t="str">
        <f t="shared" si="84"/>
        <v>Jan 2024-WEST-27</v>
      </c>
      <c r="K139">
        <f t="shared" si="92"/>
        <v>27</v>
      </c>
      <c r="L139">
        <f t="shared" si="93"/>
        <v>26.04</v>
      </c>
      <c r="M139">
        <f>IF(V139="","",IFERROR(VLOOKUP(TRIM($V139),KEY!$B$2:$E$58,4,FALSE),""))</f>
        <v>4</v>
      </c>
      <c r="N139">
        <f t="shared" si="94"/>
        <v>26</v>
      </c>
      <c r="O139" t="str">
        <f t="shared" si="95"/>
        <v>AU-4</v>
      </c>
      <c r="P139">
        <f t="shared" si="96"/>
        <v>4</v>
      </c>
      <c r="Q139">
        <f t="shared" si="97"/>
        <v>4.0199999999999996</v>
      </c>
      <c r="R139">
        <f t="shared" si="98"/>
        <v>2</v>
      </c>
      <c r="S139">
        <f t="shared" si="99"/>
        <v>4</v>
      </c>
      <c r="T139" t="str">
        <f>IF(V139="","",IFERROR(VLOOKUP(TRIM($V139),KEY!$B$2:$E$58,2,FALSE),""))</f>
        <v>AU</v>
      </c>
      <c r="V139" s="64" t="s">
        <v>12</v>
      </c>
      <c r="W139" s="64">
        <v>20</v>
      </c>
      <c r="X139" s="64">
        <v>0</v>
      </c>
      <c r="Y139" s="64">
        <v>0</v>
      </c>
      <c r="Z139" s="64">
        <v>0</v>
      </c>
      <c r="AA139" s="64">
        <v>0</v>
      </c>
      <c r="AB139" s="64">
        <v>0</v>
      </c>
      <c r="AC139" s="64">
        <v>0</v>
      </c>
      <c r="AD139" s="64">
        <v>0</v>
      </c>
      <c r="AE139" s="64">
        <v>0</v>
      </c>
      <c r="AF139" s="64">
        <v>0</v>
      </c>
      <c r="AG139" s="64">
        <v>0</v>
      </c>
      <c r="AH139" s="64">
        <v>20</v>
      </c>
      <c r="AI139" s="64">
        <v>1</v>
      </c>
      <c r="AJ139" s="64">
        <v>0</v>
      </c>
      <c r="AK139" s="64">
        <v>0</v>
      </c>
      <c r="AL139" s="64">
        <v>0</v>
      </c>
      <c r="AM139" s="64">
        <v>0</v>
      </c>
    </row>
    <row r="140" spans="1:39" x14ac:dyDescent="0.2">
      <c r="B140" t="str">
        <f t="shared" si="85"/>
        <v>OC-7</v>
      </c>
      <c r="C140" t="str">
        <f t="shared" si="86"/>
        <v>Nov 2024-OC-7</v>
      </c>
      <c r="D140">
        <f t="shared" si="87"/>
        <v>7</v>
      </c>
      <c r="E140">
        <f t="shared" si="88"/>
        <v>6.01</v>
      </c>
      <c r="F140">
        <f t="shared" si="89"/>
        <v>1</v>
      </c>
      <c r="G140">
        <f t="shared" si="90"/>
        <v>6</v>
      </c>
      <c r="H140" t="str">
        <f>IF(V140="","",IFERROR(VLOOKUP(TRIM($V140),KEY!$B$2:$E$58,3,FALSE),""))</f>
        <v>OC</v>
      </c>
      <c r="I140" t="str">
        <f t="shared" si="91"/>
        <v>WEST-28</v>
      </c>
      <c r="J140" t="str">
        <f t="shared" si="84"/>
        <v>Jan 2024-WEST-28</v>
      </c>
      <c r="K140">
        <f t="shared" si="92"/>
        <v>28</v>
      </c>
      <c r="L140">
        <f t="shared" si="93"/>
        <v>26.05</v>
      </c>
      <c r="M140">
        <f>IF(V140="","",IFERROR(VLOOKUP(TRIM($V140),KEY!$B$2:$E$58,4,FALSE),""))</f>
        <v>5</v>
      </c>
      <c r="N140">
        <f t="shared" si="94"/>
        <v>26</v>
      </c>
      <c r="O140" t="str">
        <f t="shared" si="95"/>
        <v>AU-5</v>
      </c>
      <c r="P140">
        <f t="shared" si="96"/>
        <v>5</v>
      </c>
      <c r="Q140">
        <f t="shared" si="97"/>
        <v>4.03</v>
      </c>
      <c r="R140">
        <f t="shared" si="98"/>
        <v>3</v>
      </c>
      <c r="S140">
        <f t="shared" si="99"/>
        <v>4</v>
      </c>
      <c r="T140" t="str">
        <f>IF(V140="","",IFERROR(VLOOKUP(TRIM($V140),KEY!$B$2:$E$58,2,FALSE),""))</f>
        <v>AU</v>
      </c>
      <c r="V140" s="64" t="s">
        <v>240</v>
      </c>
      <c r="W140" s="64">
        <v>1</v>
      </c>
      <c r="X140" s="64">
        <v>0</v>
      </c>
      <c r="Y140" s="64">
        <v>0</v>
      </c>
      <c r="Z140" s="64">
        <v>0</v>
      </c>
      <c r="AA140" s="64">
        <v>0</v>
      </c>
      <c r="AB140" s="64">
        <v>0</v>
      </c>
      <c r="AC140" s="64">
        <v>1</v>
      </c>
      <c r="AD140" s="64">
        <v>1</v>
      </c>
      <c r="AE140" s="64">
        <v>1</v>
      </c>
      <c r="AF140" s="64">
        <v>0</v>
      </c>
      <c r="AG140" s="64">
        <v>0</v>
      </c>
      <c r="AH140" s="64">
        <v>0</v>
      </c>
      <c r="AI140" s="64">
        <v>0</v>
      </c>
      <c r="AJ140" s="64">
        <v>0</v>
      </c>
      <c r="AK140" s="64">
        <v>0</v>
      </c>
      <c r="AL140" s="64">
        <v>0</v>
      </c>
      <c r="AM140" s="64">
        <v>0</v>
      </c>
    </row>
    <row r="141" spans="1:39" x14ac:dyDescent="0.2">
      <c r="B141" t="str">
        <f t="shared" si="85"/>
        <v>AZ-8</v>
      </c>
      <c r="C141" t="str">
        <f t="shared" si="86"/>
        <v>Nov 2024-AZ-8</v>
      </c>
      <c r="D141">
        <f t="shared" si="87"/>
        <v>8</v>
      </c>
      <c r="E141">
        <f t="shared" si="88"/>
        <v>6.03</v>
      </c>
      <c r="F141">
        <f t="shared" si="89"/>
        <v>3</v>
      </c>
      <c r="G141">
        <f t="shared" si="90"/>
        <v>6</v>
      </c>
      <c r="H141" t="str">
        <f>IF(V141="","",IFERROR(VLOOKUP(TRIM($V141),KEY!$B$2:$E$58,3,FALSE),""))</f>
        <v>AZ</v>
      </c>
      <c r="I141" t="str">
        <f t="shared" si="91"/>
        <v>WEST-29</v>
      </c>
      <c r="J141" t="str">
        <f t="shared" si="84"/>
        <v>Jan 2024-WEST-29</v>
      </c>
      <c r="K141">
        <f t="shared" si="92"/>
        <v>29</v>
      </c>
      <c r="L141">
        <f t="shared" si="93"/>
        <v>26.06</v>
      </c>
      <c r="M141">
        <f>IF(V141="","",IFERROR(VLOOKUP(TRIM($V141),KEY!$B$2:$E$58,4,FALSE),""))</f>
        <v>6</v>
      </c>
      <c r="N141">
        <f t="shared" si="94"/>
        <v>26</v>
      </c>
      <c r="O141" t="str">
        <f t="shared" si="95"/>
        <v>AU-6</v>
      </c>
      <c r="P141">
        <f t="shared" si="96"/>
        <v>6</v>
      </c>
      <c r="Q141">
        <f t="shared" si="97"/>
        <v>4.04</v>
      </c>
      <c r="R141">
        <f t="shared" si="98"/>
        <v>4</v>
      </c>
      <c r="S141">
        <f t="shared" si="99"/>
        <v>4</v>
      </c>
      <c r="T141" t="str">
        <f>IF(V141="","",IFERROR(VLOOKUP(TRIM($V141),KEY!$B$2:$E$58,2,FALSE),""))</f>
        <v>AU</v>
      </c>
      <c r="V141" s="64" t="s">
        <v>13</v>
      </c>
      <c r="W141" s="64">
        <v>12</v>
      </c>
      <c r="X141" s="64">
        <v>0</v>
      </c>
      <c r="Y141" s="64">
        <v>0</v>
      </c>
      <c r="Z141" s="64">
        <v>0</v>
      </c>
      <c r="AA141" s="64">
        <v>0</v>
      </c>
      <c r="AB141" s="64">
        <v>0</v>
      </c>
      <c r="AC141" s="64">
        <v>5</v>
      </c>
      <c r="AD141" s="64">
        <v>5</v>
      </c>
      <c r="AE141" s="64">
        <v>0.41666666666666669</v>
      </c>
      <c r="AF141" s="64">
        <v>0</v>
      </c>
      <c r="AG141" s="64">
        <v>0</v>
      </c>
      <c r="AH141" s="64">
        <v>5</v>
      </c>
      <c r="AI141" s="64">
        <v>0.41666666666666669</v>
      </c>
      <c r="AJ141" s="64">
        <v>2</v>
      </c>
      <c r="AK141" s="64">
        <v>0</v>
      </c>
      <c r="AL141" s="64">
        <v>0</v>
      </c>
      <c r="AM141" s="64">
        <v>0.16666666666666666</v>
      </c>
    </row>
    <row r="142" spans="1:39" x14ac:dyDescent="0.2">
      <c r="B142" t="str">
        <f t="shared" si="85"/>
        <v>NorCal-4</v>
      </c>
      <c r="C142" t="str">
        <f t="shared" si="86"/>
        <v>Nov 2024-NorCal-4</v>
      </c>
      <c r="D142">
        <f t="shared" si="87"/>
        <v>4</v>
      </c>
      <c r="E142">
        <f t="shared" si="88"/>
        <v>4.01</v>
      </c>
      <c r="F142">
        <f t="shared" si="89"/>
        <v>1</v>
      </c>
      <c r="G142">
        <f t="shared" si="90"/>
        <v>4</v>
      </c>
      <c r="H142" t="str">
        <f>IF(V142="","",IFERROR(VLOOKUP(TRIM($V142),KEY!$B$2:$E$58,3,FALSE),""))</f>
        <v>NorCal</v>
      </c>
      <c r="I142" t="str">
        <f t="shared" si="91"/>
        <v>WEST-25</v>
      </c>
      <c r="J142" t="str">
        <f t="shared" si="84"/>
        <v>Jan 2024-WEST-25</v>
      </c>
      <c r="K142">
        <f t="shared" si="92"/>
        <v>25</v>
      </c>
      <c r="L142">
        <f t="shared" si="93"/>
        <v>25.08</v>
      </c>
      <c r="M142">
        <f>IF(V142="","",IFERROR(VLOOKUP(TRIM($V142),KEY!$B$2:$E$58,4,FALSE),""))</f>
        <v>8</v>
      </c>
      <c r="N142">
        <f t="shared" si="94"/>
        <v>25</v>
      </c>
      <c r="O142" t="str">
        <f t="shared" si="95"/>
        <v>AU-3</v>
      </c>
      <c r="P142">
        <f t="shared" si="96"/>
        <v>3</v>
      </c>
      <c r="Q142">
        <f t="shared" si="97"/>
        <v>3.05</v>
      </c>
      <c r="R142">
        <f t="shared" si="98"/>
        <v>5</v>
      </c>
      <c r="S142">
        <f t="shared" si="99"/>
        <v>3</v>
      </c>
      <c r="T142" t="str">
        <f>IF(V142="","",IFERROR(VLOOKUP(TRIM($V142),KEY!$B$2:$E$58,2,FALSE),""))</f>
        <v>AU</v>
      </c>
      <c r="V142" s="64" t="s">
        <v>275</v>
      </c>
      <c r="W142" s="64">
        <v>39</v>
      </c>
      <c r="X142" s="64">
        <v>1</v>
      </c>
      <c r="Y142" s="64">
        <v>2.564102564102564E-2</v>
      </c>
      <c r="Z142" s="64">
        <v>0</v>
      </c>
      <c r="AA142" s="64">
        <v>1</v>
      </c>
      <c r="AB142" s="64">
        <v>0</v>
      </c>
      <c r="AC142" s="64">
        <v>0</v>
      </c>
      <c r="AD142" s="64">
        <v>1</v>
      </c>
      <c r="AE142" s="64">
        <v>2.564102564102564E-2</v>
      </c>
      <c r="AF142" s="64">
        <v>37</v>
      </c>
      <c r="AG142" s="64">
        <v>0</v>
      </c>
      <c r="AH142" s="64">
        <v>0</v>
      </c>
      <c r="AI142" s="64">
        <v>0.94871794871794868</v>
      </c>
      <c r="AJ142" s="64">
        <v>1</v>
      </c>
      <c r="AK142" s="64">
        <v>0</v>
      </c>
      <c r="AL142" s="64">
        <v>0</v>
      </c>
      <c r="AM142" s="64">
        <v>2.564102564102564E-2</v>
      </c>
    </row>
    <row r="143" spans="1:39" x14ac:dyDescent="0.2">
      <c r="B143" t="str">
        <f t="shared" si="85"/>
        <v>OC-3</v>
      </c>
      <c r="C143" t="str">
        <f t="shared" si="86"/>
        <v>Nov 2024-OC-3</v>
      </c>
      <c r="D143">
        <f t="shared" si="87"/>
        <v>3</v>
      </c>
      <c r="E143">
        <f t="shared" si="88"/>
        <v>2.02</v>
      </c>
      <c r="F143">
        <f t="shared" si="89"/>
        <v>2</v>
      </c>
      <c r="G143">
        <f t="shared" si="90"/>
        <v>2</v>
      </c>
      <c r="H143" t="str">
        <f>IF(V143="","",IFERROR(VLOOKUP(TRIM($V143),KEY!$B$2:$E$58,3,FALSE),""))</f>
        <v>OC</v>
      </c>
      <c r="I143" t="str">
        <f t="shared" si="91"/>
        <v>WEST-4</v>
      </c>
      <c r="J143" t="str">
        <f t="shared" si="84"/>
        <v>Jan 2024-WEST-4</v>
      </c>
      <c r="K143">
        <f t="shared" si="92"/>
        <v>4</v>
      </c>
      <c r="L143">
        <f t="shared" si="93"/>
        <v>4.07</v>
      </c>
      <c r="M143">
        <f>IF(V143="","",IFERROR(VLOOKUP(TRIM($V143),KEY!$B$2:$E$58,4,FALSE),""))</f>
        <v>7</v>
      </c>
      <c r="N143">
        <f t="shared" si="94"/>
        <v>4</v>
      </c>
      <c r="O143" t="str">
        <f t="shared" si="95"/>
        <v>AU-1</v>
      </c>
      <c r="P143">
        <f t="shared" si="96"/>
        <v>1</v>
      </c>
      <c r="Q143">
        <f t="shared" si="97"/>
        <v>1.06</v>
      </c>
      <c r="R143">
        <f t="shared" si="98"/>
        <v>6</v>
      </c>
      <c r="S143">
        <f t="shared" si="99"/>
        <v>1</v>
      </c>
      <c r="T143" t="str">
        <f>IF(V143="","",IFERROR(VLOOKUP(TRIM($V143),KEY!$B$2:$E$58,2,FALSE),""))</f>
        <v>AU</v>
      </c>
      <c r="V143" s="64" t="s">
        <v>14</v>
      </c>
      <c r="W143" s="64">
        <v>23</v>
      </c>
      <c r="X143" s="64">
        <v>7</v>
      </c>
      <c r="Y143" s="64">
        <v>0.30434782608695654</v>
      </c>
      <c r="Z143" s="64">
        <v>0</v>
      </c>
      <c r="AA143" s="64">
        <v>7</v>
      </c>
      <c r="AB143" s="64">
        <v>0</v>
      </c>
      <c r="AC143" s="64">
        <v>1</v>
      </c>
      <c r="AD143" s="64">
        <v>8</v>
      </c>
      <c r="AE143" s="64">
        <v>0.34782608695652173</v>
      </c>
      <c r="AF143" s="64">
        <v>15</v>
      </c>
      <c r="AG143" s="64">
        <v>0</v>
      </c>
      <c r="AH143" s="64">
        <v>0</v>
      </c>
      <c r="AI143" s="64">
        <v>0.65217391304347827</v>
      </c>
      <c r="AJ143" s="64">
        <v>0</v>
      </c>
      <c r="AK143" s="64">
        <v>0</v>
      </c>
      <c r="AL143" s="64">
        <v>0</v>
      </c>
      <c r="AM143" s="64">
        <v>0</v>
      </c>
    </row>
    <row r="144" spans="1:39" x14ac:dyDescent="0.2">
      <c r="B144" t="str">
        <f t="shared" si="85"/>
        <v>AZ-9</v>
      </c>
      <c r="C144" t="str">
        <f t="shared" si="86"/>
        <v>Nov 2024-AZ-9</v>
      </c>
      <c r="D144">
        <f t="shared" si="87"/>
        <v>9</v>
      </c>
      <c r="E144">
        <f t="shared" si="88"/>
        <v>6.04</v>
      </c>
      <c r="F144">
        <f t="shared" si="89"/>
        <v>4</v>
      </c>
      <c r="G144">
        <f t="shared" si="90"/>
        <v>6</v>
      </c>
      <c r="H144" t="str">
        <f>IF(V144="","",IFERROR(VLOOKUP(TRIM($V144),KEY!$B$2:$E$58,3,FALSE),""))</f>
        <v>AZ</v>
      </c>
      <c r="I144" t="str">
        <f t="shared" si="91"/>
        <v>WEST-30</v>
      </c>
      <c r="J144" t="str">
        <f t="shared" si="84"/>
        <v>Jan 2024-WEST-30</v>
      </c>
      <c r="K144">
        <f t="shared" si="92"/>
        <v>30</v>
      </c>
      <c r="L144">
        <f t="shared" si="93"/>
        <v>26.09</v>
      </c>
      <c r="M144">
        <f>IF(V144="","",IFERROR(VLOOKUP(TRIM($V144),KEY!$B$2:$E$58,4,FALSE),""))</f>
        <v>9</v>
      </c>
      <c r="N144">
        <f t="shared" si="94"/>
        <v>26</v>
      </c>
      <c r="O144" t="str">
        <f t="shared" si="95"/>
        <v>BE-1</v>
      </c>
      <c r="P144">
        <f t="shared" si="96"/>
        <v>1</v>
      </c>
      <c r="Q144">
        <f t="shared" si="97"/>
        <v>1.01</v>
      </c>
      <c r="R144">
        <f t="shared" si="98"/>
        <v>1</v>
      </c>
      <c r="S144">
        <f t="shared" si="99"/>
        <v>1</v>
      </c>
      <c r="T144" t="str">
        <f>IF(V144="","",IFERROR(VLOOKUP(TRIM($V144),KEY!$B$2:$E$58,2,FALSE),""))</f>
        <v>BE</v>
      </c>
      <c r="V144" s="64" t="s">
        <v>15</v>
      </c>
      <c r="W144" s="64">
        <v>2</v>
      </c>
      <c r="X144" s="64">
        <v>0</v>
      </c>
      <c r="Y144" s="64">
        <v>0</v>
      </c>
      <c r="Z144" s="64">
        <v>0</v>
      </c>
      <c r="AA144" s="64">
        <v>0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2</v>
      </c>
      <c r="AI144" s="64">
        <v>1</v>
      </c>
      <c r="AJ144" s="64">
        <v>0</v>
      </c>
      <c r="AK144" s="64">
        <v>0</v>
      </c>
      <c r="AL144" s="64">
        <v>0</v>
      </c>
      <c r="AM144" s="64">
        <v>0</v>
      </c>
    </row>
    <row r="145" spans="2:39" x14ac:dyDescent="0.2">
      <c r="B145" t="str">
        <f t="shared" si="85"/>
        <v>AZ-4</v>
      </c>
      <c r="C145" t="str">
        <f t="shared" si="86"/>
        <v>Nov 2024-AZ-4</v>
      </c>
      <c r="D145">
        <f t="shared" si="87"/>
        <v>4</v>
      </c>
      <c r="E145">
        <f t="shared" si="88"/>
        <v>2.0499999999999998</v>
      </c>
      <c r="F145">
        <f t="shared" si="89"/>
        <v>5</v>
      </c>
      <c r="G145">
        <f t="shared" si="90"/>
        <v>2</v>
      </c>
      <c r="H145" t="str">
        <f>IF(V145="","",IFERROR(VLOOKUP(TRIM($V145),KEY!$B$2:$E$58,3,FALSE),""))</f>
        <v>AZ</v>
      </c>
      <c r="I145" t="str">
        <f t="shared" si="91"/>
        <v>WEST-9</v>
      </c>
      <c r="J145" t="str">
        <f t="shared" si="84"/>
        <v>Jan 2024-WEST-9</v>
      </c>
      <c r="K145">
        <f t="shared" si="92"/>
        <v>9</v>
      </c>
      <c r="L145">
        <f t="shared" si="93"/>
        <v>9.1</v>
      </c>
      <c r="M145">
        <f>IF(V145="","",IFERROR(VLOOKUP(TRIM($V145),KEY!$B$2:$E$58,4,FALSE),""))</f>
        <v>10</v>
      </c>
      <c r="N145">
        <f t="shared" si="94"/>
        <v>9</v>
      </c>
      <c r="O145" t="str">
        <f t="shared" si="95"/>
        <v>BM-2</v>
      </c>
      <c r="P145">
        <f t="shared" si="96"/>
        <v>2</v>
      </c>
      <c r="Q145">
        <f t="shared" si="97"/>
        <v>2.0099999999999998</v>
      </c>
      <c r="R145">
        <f t="shared" si="98"/>
        <v>1</v>
      </c>
      <c r="S145">
        <f t="shared" si="99"/>
        <v>2</v>
      </c>
      <c r="T145" t="str">
        <f>IF(V145="","",IFERROR(VLOOKUP(TRIM($V145),KEY!$B$2:$E$58,2,FALSE),""))</f>
        <v>BM</v>
      </c>
      <c r="V145" s="64" t="s">
        <v>16</v>
      </c>
      <c r="W145" s="64">
        <v>60</v>
      </c>
      <c r="X145" s="64">
        <v>11</v>
      </c>
      <c r="Y145" s="64">
        <v>0.18333333333333332</v>
      </c>
      <c r="Z145" s="64">
        <v>2</v>
      </c>
      <c r="AA145" s="64">
        <v>11</v>
      </c>
      <c r="AB145" s="64">
        <v>1</v>
      </c>
      <c r="AC145" s="64">
        <v>1</v>
      </c>
      <c r="AD145" s="64">
        <v>15</v>
      </c>
      <c r="AE145" s="64">
        <v>0.25</v>
      </c>
      <c r="AF145" s="64">
        <v>36</v>
      </c>
      <c r="AG145" s="64">
        <v>0</v>
      </c>
      <c r="AH145" s="64">
        <v>0</v>
      </c>
      <c r="AI145" s="64">
        <v>0.6</v>
      </c>
      <c r="AJ145" s="64">
        <v>1</v>
      </c>
      <c r="AK145" s="64">
        <v>8</v>
      </c>
      <c r="AL145" s="64">
        <v>0</v>
      </c>
      <c r="AM145" s="64">
        <v>0.15</v>
      </c>
    </row>
    <row r="146" spans="2:39" x14ac:dyDescent="0.2">
      <c r="B146" t="str">
        <f t="shared" si="85"/>
        <v>TX-6</v>
      </c>
      <c r="C146" t="str">
        <f t="shared" si="86"/>
        <v>Nov 2024-TX-6</v>
      </c>
      <c r="D146">
        <f t="shared" si="87"/>
        <v>6</v>
      </c>
      <c r="E146">
        <f t="shared" si="88"/>
        <v>6.01</v>
      </c>
      <c r="F146">
        <f t="shared" si="89"/>
        <v>1</v>
      </c>
      <c r="G146">
        <f t="shared" si="90"/>
        <v>6</v>
      </c>
      <c r="H146" t="str">
        <f>IF(V146="","",IFERROR(VLOOKUP(TRIM($V146),KEY!$B$2:$E$58,3,FALSE),""))</f>
        <v>TX</v>
      </c>
      <c r="I146" t="str">
        <f t="shared" si="91"/>
        <v>WEST-18</v>
      </c>
      <c r="J146" t="str">
        <f t="shared" si="84"/>
        <v>Jan 2024-WEST-18</v>
      </c>
      <c r="K146">
        <f t="shared" si="92"/>
        <v>18</v>
      </c>
      <c r="L146">
        <f t="shared" si="93"/>
        <v>18.11</v>
      </c>
      <c r="M146">
        <f>IF(V146="","",IFERROR(VLOOKUP(TRIM($V146),KEY!$B$2:$E$58,4,FALSE),""))</f>
        <v>11</v>
      </c>
      <c r="N146">
        <f t="shared" si="94"/>
        <v>18</v>
      </c>
      <c r="O146" t="str">
        <f t="shared" si="95"/>
        <v>BM-3</v>
      </c>
      <c r="P146">
        <f t="shared" si="96"/>
        <v>3</v>
      </c>
      <c r="Q146">
        <f t="shared" si="97"/>
        <v>3.02</v>
      </c>
      <c r="R146">
        <f t="shared" si="98"/>
        <v>2</v>
      </c>
      <c r="S146">
        <f t="shared" si="99"/>
        <v>3</v>
      </c>
      <c r="T146" t="str">
        <f>IF(V146="","",IFERROR(VLOOKUP(TRIM($V146),KEY!$B$2:$E$58,2,FALSE),""))</f>
        <v>BM</v>
      </c>
      <c r="V146" s="64" t="s">
        <v>17</v>
      </c>
      <c r="W146" s="64">
        <v>20</v>
      </c>
      <c r="X146" s="64">
        <v>2</v>
      </c>
      <c r="Y146" s="64">
        <v>0.1</v>
      </c>
      <c r="Z146" s="64">
        <v>0</v>
      </c>
      <c r="AA146" s="64">
        <v>2</v>
      </c>
      <c r="AB146" s="64">
        <v>0</v>
      </c>
      <c r="AC146" s="64">
        <v>0</v>
      </c>
      <c r="AD146" s="64">
        <v>2</v>
      </c>
      <c r="AE146" s="64">
        <v>0.1</v>
      </c>
      <c r="AF146" s="64">
        <v>14</v>
      </c>
      <c r="AG146" s="64">
        <v>0</v>
      </c>
      <c r="AH146" s="64">
        <v>2</v>
      </c>
      <c r="AI146" s="64">
        <v>0.8</v>
      </c>
      <c r="AJ146" s="64">
        <v>0</v>
      </c>
      <c r="AK146" s="64">
        <v>2</v>
      </c>
      <c r="AL146" s="64">
        <v>0</v>
      </c>
      <c r="AM146" s="64">
        <v>0.1</v>
      </c>
    </row>
    <row r="147" spans="2:39" x14ac:dyDescent="0.2">
      <c r="B147" t="str">
        <f t="shared" si="85"/>
        <v>SoCal-8</v>
      </c>
      <c r="C147" t="str">
        <f t="shared" si="86"/>
        <v>Nov 2024-SoCal-8</v>
      </c>
      <c r="D147">
        <f t="shared" si="87"/>
        <v>8</v>
      </c>
      <c r="E147">
        <f t="shared" si="88"/>
        <v>6.04</v>
      </c>
      <c r="F147">
        <f t="shared" si="89"/>
        <v>4</v>
      </c>
      <c r="G147">
        <f t="shared" si="90"/>
        <v>6</v>
      </c>
      <c r="H147" t="str">
        <f>IF(V147="","",IFERROR(VLOOKUP(TRIM($V147),KEY!$B$2:$E$58,3,FALSE),""))</f>
        <v>SoCal</v>
      </c>
      <c r="I147" t="str">
        <f t="shared" si="91"/>
        <v>WEST-31</v>
      </c>
      <c r="J147" t="str">
        <f t="shared" si="84"/>
        <v>Jan 2024-WEST-31</v>
      </c>
      <c r="K147">
        <f t="shared" si="92"/>
        <v>31</v>
      </c>
      <c r="L147">
        <f t="shared" si="93"/>
        <v>26.12</v>
      </c>
      <c r="M147">
        <f>IF(V147="","",IFERROR(VLOOKUP(TRIM($V147),KEY!$B$2:$E$58,4,FALSE),""))</f>
        <v>12</v>
      </c>
      <c r="N147">
        <f t="shared" si="94"/>
        <v>26</v>
      </c>
      <c r="O147" t="str">
        <f t="shared" si="95"/>
        <v>BM-6</v>
      </c>
      <c r="P147">
        <f t="shared" si="96"/>
        <v>6</v>
      </c>
      <c r="Q147">
        <f t="shared" si="97"/>
        <v>5.05</v>
      </c>
      <c r="R147">
        <f t="shared" si="98"/>
        <v>5</v>
      </c>
      <c r="S147">
        <f t="shared" si="99"/>
        <v>5</v>
      </c>
      <c r="T147" t="str">
        <f>IF(V147="","",IFERROR(VLOOKUP(TRIM($V147),KEY!$B$2:$E$58,2,FALSE),""))</f>
        <v>BM</v>
      </c>
      <c r="V147" s="64" t="s">
        <v>267</v>
      </c>
      <c r="W147" s="64">
        <v>12</v>
      </c>
      <c r="X147" s="64">
        <v>0</v>
      </c>
      <c r="Y147" s="64">
        <v>0</v>
      </c>
      <c r="Z147" s="64">
        <v>0</v>
      </c>
      <c r="AA147" s="64">
        <v>0</v>
      </c>
      <c r="AB147" s="64">
        <v>0</v>
      </c>
      <c r="AC147" s="64">
        <v>0</v>
      </c>
      <c r="AD147" s="64">
        <v>0</v>
      </c>
      <c r="AE147" s="64">
        <v>0</v>
      </c>
      <c r="AF147" s="64">
        <v>0</v>
      </c>
      <c r="AG147" s="64">
        <v>0</v>
      </c>
      <c r="AH147" s="64">
        <v>12</v>
      </c>
      <c r="AI147" s="64">
        <v>1</v>
      </c>
      <c r="AJ147" s="64">
        <v>0</v>
      </c>
      <c r="AK147" s="64">
        <v>0</v>
      </c>
      <c r="AL147" s="64">
        <v>0</v>
      </c>
      <c r="AM147" s="64">
        <v>0</v>
      </c>
    </row>
    <row r="148" spans="2:39" x14ac:dyDescent="0.2">
      <c r="B148" t="str">
        <f t="shared" si="85"/>
        <v>OC-8</v>
      </c>
      <c r="C148" t="str">
        <f t="shared" si="86"/>
        <v>Nov 2024-OC-8</v>
      </c>
      <c r="D148">
        <f t="shared" si="87"/>
        <v>8</v>
      </c>
      <c r="E148">
        <f t="shared" si="88"/>
        <v>6.03</v>
      </c>
      <c r="F148">
        <f t="shared" si="89"/>
        <v>3</v>
      </c>
      <c r="G148">
        <f t="shared" si="90"/>
        <v>6</v>
      </c>
      <c r="H148" t="str">
        <f>IF(V148="","",IFERROR(VLOOKUP(TRIM($V148),KEY!$B$2:$E$58,3,FALSE),""))</f>
        <v>OC</v>
      </c>
      <c r="I148" t="str">
        <f t="shared" si="91"/>
        <v>WEST-32</v>
      </c>
      <c r="J148" t="str">
        <f t="shared" si="84"/>
        <v>Jan 2024-WEST-32</v>
      </c>
      <c r="K148">
        <f t="shared" si="92"/>
        <v>32</v>
      </c>
      <c r="L148">
        <f t="shared" si="93"/>
        <v>26.13</v>
      </c>
      <c r="M148">
        <f>IF(V148="","",IFERROR(VLOOKUP(TRIM($V148),KEY!$B$2:$E$58,4,FALSE),""))</f>
        <v>13</v>
      </c>
      <c r="N148">
        <f t="shared" si="94"/>
        <v>26</v>
      </c>
      <c r="O148" t="str">
        <f t="shared" si="95"/>
        <v>BM-5</v>
      </c>
      <c r="P148">
        <f t="shared" si="96"/>
        <v>5</v>
      </c>
      <c r="Q148">
        <f t="shared" si="97"/>
        <v>5.03</v>
      </c>
      <c r="R148">
        <f t="shared" si="98"/>
        <v>3</v>
      </c>
      <c r="S148">
        <f t="shared" si="99"/>
        <v>5</v>
      </c>
      <c r="T148" t="str">
        <f>IF(V148="","",IFERROR(VLOOKUP(TRIM($V148),KEY!$B$2:$E$58,2,FALSE),""))</f>
        <v>BM</v>
      </c>
      <c r="V148" s="64" t="s">
        <v>18</v>
      </c>
      <c r="W148" s="64">
        <v>46</v>
      </c>
      <c r="X148" s="64">
        <v>0</v>
      </c>
      <c r="Y148" s="64">
        <v>0</v>
      </c>
      <c r="Z148" s="64">
        <v>0</v>
      </c>
      <c r="AA148" s="64">
        <v>0</v>
      </c>
      <c r="AB148" s="64">
        <v>0</v>
      </c>
      <c r="AC148" s="64">
        <v>0</v>
      </c>
      <c r="AD148" s="64">
        <v>0</v>
      </c>
      <c r="AE148" s="64">
        <v>0</v>
      </c>
      <c r="AF148" s="64">
        <v>0</v>
      </c>
      <c r="AG148" s="64">
        <v>0</v>
      </c>
      <c r="AH148" s="64">
        <v>46</v>
      </c>
      <c r="AI148" s="64">
        <v>1</v>
      </c>
      <c r="AJ148" s="64">
        <v>0</v>
      </c>
      <c r="AK148" s="64">
        <v>0</v>
      </c>
      <c r="AL148" s="64">
        <v>0</v>
      </c>
      <c r="AM148" s="64">
        <v>0</v>
      </c>
    </row>
    <row r="149" spans="2:39" x14ac:dyDescent="0.2">
      <c r="B149" t="str">
        <f t="shared" si="85"/>
        <v>SoCal-5</v>
      </c>
      <c r="C149" t="str">
        <f t="shared" si="86"/>
        <v>Nov 2024-SoCal-5</v>
      </c>
      <c r="D149">
        <f t="shared" si="87"/>
        <v>5</v>
      </c>
      <c r="E149">
        <f t="shared" si="88"/>
        <v>5.03</v>
      </c>
      <c r="F149">
        <f t="shared" si="89"/>
        <v>3</v>
      </c>
      <c r="G149">
        <f t="shared" si="90"/>
        <v>5</v>
      </c>
      <c r="H149" t="str">
        <f>IF(V149="","",IFERROR(VLOOKUP(TRIM($V149),KEY!$B$2:$E$58,3,FALSE),""))</f>
        <v>SoCal</v>
      </c>
      <c r="I149" t="str">
        <f t="shared" si="91"/>
        <v>WEST-22</v>
      </c>
      <c r="J149" t="str">
        <f t="shared" si="84"/>
        <v>Jan 2024-WEST-22</v>
      </c>
      <c r="K149">
        <f t="shared" si="92"/>
        <v>22</v>
      </c>
      <c r="L149">
        <f t="shared" si="93"/>
        <v>22.14</v>
      </c>
      <c r="M149">
        <f>IF(V149="","",IFERROR(VLOOKUP(TRIM($V149),KEY!$B$2:$E$58,4,FALSE),""))</f>
        <v>14</v>
      </c>
      <c r="N149">
        <f t="shared" si="94"/>
        <v>22</v>
      </c>
      <c r="O149" t="str">
        <f t="shared" si="95"/>
        <v>BM-4</v>
      </c>
      <c r="P149">
        <f t="shared" si="96"/>
        <v>4</v>
      </c>
      <c r="Q149">
        <f t="shared" si="97"/>
        <v>4.04</v>
      </c>
      <c r="R149">
        <f t="shared" si="98"/>
        <v>4</v>
      </c>
      <c r="S149">
        <f t="shared" si="99"/>
        <v>4</v>
      </c>
      <c r="T149" t="str">
        <f>IF(V149="","",IFERROR(VLOOKUP(TRIM($V149),KEY!$B$2:$E$58,2,FALSE),""))</f>
        <v>BM</v>
      </c>
      <c r="V149" s="64" t="s">
        <v>19</v>
      </c>
      <c r="W149" s="64">
        <v>86</v>
      </c>
      <c r="X149" s="64">
        <v>7</v>
      </c>
      <c r="Y149" s="64">
        <v>8.1395348837209308E-2</v>
      </c>
      <c r="Z149" s="64">
        <v>0</v>
      </c>
      <c r="AA149" s="64">
        <v>7</v>
      </c>
      <c r="AB149" s="64">
        <v>0</v>
      </c>
      <c r="AC149" s="64">
        <v>0</v>
      </c>
      <c r="AD149" s="64">
        <v>7</v>
      </c>
      <c r="AE149" s="64">
        <v>8.1395348837209308E-2</v>
      </c>
      <c r="AF149" s="64">
        <v>0</v>
      </c>
      <c r="AG149" s="64">
        <v>0</v>
      </c>
      <c r="AH149" s="64">
        <v>79</v>
      </c>
      <c r="AI149" s="64">
        <v>0.91860465116279066</v>
      </c>
      <c r="AJ149" s="64">
        <v>0</v>
      </c>
      <c r="AK149" s="64">
        <v>0</v>
      </c>
      <c r="AL149" s="64">
        <v>0</v>
      </c>
      <c r="AM149" s="64">
        <v>0</v>
      </c>
    </row>
    <row r="150" spans="2:39" x14ac:dyDescent="0.2">
      <c r="B150" t="str">
        <f t="shared" si="85"/>
        <v>NorCal-5</v>
      </c>
      <c r="C150" t="str">
        <f t="shared" si="86"/>
        <v>Nov 2024-NorCal-5</v>
      </c>
      <c r="D150">
        <f t="shared" si="87"/>
        <v>5</v>
      </c>
      <c r="E150">
        <f t="shared" si="88"/>
        <v>5.0199999999999996</v>
      </c>
      <c r="F150">
        <f t="shared" si="89"/>
        <v>2</v>
      </c>
      <c r="G150">
        <f t="shared" si="90"/>
        <v>5</v>
      </c>
      <c r="H150" t="str">
        <f>IF(V150="","",IFERROR(VLOOKUP(TRIM($V150),KEY!$B$2:$E$58,3,FALSE),""))</f>
        <v>NorCal</v>
      </c>
      <c r="I150" t="str">
        <f t="shared" si="91"/>
        <v>WEST-33</v>
      </c>
      <c r="J150" t="str">
        <f t="shared" si="84"/>
        <v>Jan 2024-WEST-33</v>
      </c>
      <c r="K150">
        <f t="shared" si="92"/>
        <v>33</v>
      </c>
      <c r="L150">
        <f t="shared" si="93"/>
        <v>26.15</v>
      </c>
      <c r="M150">
        <f>IF(V150="","",IFERROR(VLOOKUP(TRIM($V150),KEY!$B$2:$E$58,4,FALSE),""))</f>
        <v>15</v>
      </c>
      <c r="N150">
        <f t="shared" si="94"/>
        <v>26</v>
      </c>
      <c r="O150" t="str">
        <f t="shared" si="95"/>
        <v>AC-4</v>
      </c>
      <c r="P150">
        <f t="shared" si="96"/>
        <v>4</v>
      </c>
      <c r="Q150">
        <f t="shared" si="97"/>
        <v>3.03</v>
      </c>
      <c r="R150">
        <f t="shared" si="98"/>
        <v>3</v>
      </c>
      <c r="S150">
        <f t="shared" si="99"/>
        <v>3</v>
      </c>
      <c r="T150" t="str">
        <f>IF(V150="","",IFERROR(VLOOKUP(TRIM($V150),KEY!$B$2:$E$58,2,FALSE),""))</f>
        <v>AC</v>
      </c>
      <c r="V150" s="64" t="s">
        <v>262</v>
      </c>
      <c r="W150" s="64">
        <v>2</v>
      </c>
      <c r="X150" s="64">
        <v>0</v>
      </c>
      <c r="Y150" s="64">
        <v>0</v>
      </c>
      <c r="Z150" s="64">
        <v>0</v>
      </c>
      <c r="AA150" s="64">
        <v>0</v>
      </c>
      <c r="AB150" s="64">
        <v>0</v>
      </c>
      <c r="AC150" s="64">
        <v>0</v>
      </c>
      <c r="AD150" s="64">
        <v>0</v>
      </c>
      <c r="AE150" s="64">
        <v>0</v>
      </c>
      <c r="AF150" s="64">
        <v>0</v>
      </c>
      <c r="AG150" s="64">
        <v>0</v>
      </c>
      <c r="AH150" s="64">
        <v>2</v>
      </c>
      <c r="AI150" s="64">
        <v>1</v>
      </c>
      <c r="AJ150" s="64">
        <v>0</v>
      </c>
      <c r="AK150" s="64">
        <v>0</v>
      </c>
      <c r="AL150" s="64">
        <v>0</v>
      </c>
      <c r="AM150" s="64">
        <v>0</v>
      </c>
    </row>
    <row r="151" spans="2:39" x14ac:dyDescent="0.2">
      <c r="B151" t="str">
        <f t="shared" si="85"/>
        <v>NorCal-6</v>
      </c>
      <c r="C151" t="str">
        <f t="shared" si="86"/>
        <v>Nov 2024-NorCal-6</v>
      </c>
      <c r="D151">
        <f t="shared" si="87"/>
        <v>6</v>
      </c>
      <c r="E151">
        <f t="shared" si="88"/>
        <v>5.03</v>
      </c>
      <c r="F151">
        <f t="shared" si="89"/>
        <v>3</v>
      </c>
      <c r="G151">
        <f t="shared" si="90"/>
        <v>5</v>
      </c>
      <c r="H151" t="str">
        <f>IF(V151="","",IFERROR(VLOOKUP(TRIM($V151),KEY!$B$2:$E$58,3,FALSE),""))</f>
        <v>NorCal</v>
      </c>
      <c r="I151" t="str">
        <f t="shared" si="91"/>
        <v>WEST-34</v>
      </c>
      <c r="J151" t="str">
        <f t="shared" si="84"/>
        <v>Jan 2024-WEST-34</v>
      </c>
      <c r="K151">
        <f t="shared" si="92"/>
        <v>34</v>
      </c>
      <c r="L151">
        <f t="shared" si="93"/>
        <v>26.16</v>
      </c>
      <c r="M151">
        <f>IF(V151="","",IFERROR(VLOOKUP(TRIM($V151),KEY!$B$2:$E$58,4,FALSE),""))</f>
        <v>16</v>
      </c>
      <c r="N151">
        <f t="shared" si="94"/>
        <v>26</v>
      </c>
      <c r="O151" t="str">
        <f t="shared" si="95"/>
        <v>HO-5</v>
      </c>
      <c r="P151">
        <f t="shared" si="96"/>
        <v>5</v>
      </c>
      <c r="Q151">
        <f t="shared" si="97"/>
        <v>5.01</v>
      </c>
      <c r="R151">
        <f t="shared" si="98"/>
        <v>1</v>
      </c>
      <c r="S151">
        <f t="shared" si="99"/>
        <v>5</v>
      </c>
      <c r="T151" t="str">
        <f>IF(V151="","",IFERROR(VLOOKUP(TRIM($V151),KEY!$B$2:$E$58,2,FALSE),""))</f>
        <v>HO</v>
      </c>
      <c r="V151" s="64" t="s">
        <v>22</v>
      </c>
      <c r="W151" s="64">
        <v>18</v>
      </c>
      <c r="X151" s="64">
        <v>0</v>
      </c>
      <c r="Y151" s="64">
        <v>0</v>
      </c>
      <c r="Z151" s="64">
        <v>0</v>
      </c>
      <c r="AA151" s="64">
        <v>0</v>
      </c>
      <c r="AB151" s="64">
        <v>0</v>
      </c>
      <c r="AC151" s="64">
        <v>0</v>
      </c>
      <c r="AD151" s="64">
        <v>0</v>
      </c>
      <c r="AE151" s="64">
        <v>0</v>
      </c>
      <c r="AF151" s="64">
        <v>0</v>
      </c>
      <c r="AG151" s="64">
        <v>0</v>
      </c>
      <c r="AH151" s="64">
        <v>18</v>
      </c>
      <c r="AI151" s="64">
        <v>1</v>
      </c>
      <c r="AJ151" s="64">
        <v>0</v>
      </c>
      <c r="AK151" s="64">
        <v>0</v>
      </c>
      <c r="AL151" s="64">
        <v>0</v>
      </c>
      <c r="AM151" s="64">
        <v>0</v>
      </c>
    </row>
    <row r="152" spans="2:39" x14ac:dyDescent="0.2">
      <c r="B152" t="str">
        <f t="shared" si="85"/>
        <v>OC-4</v>
      </c>
      <c r="C152" t="str">
        <f t="shared" si="86"/>
        <v>Nov 2024-OC-4</v>
      </c>
      <c r="D152">
        <f t="shared" si="87"/>
        <v>4</v>
      </c>
      <c r="E152">
        <f t="shared" si="88"/>
        <v>3.04</v>
      </c>
      <c r="F152">
        <f t="shared" si="89"/>
        <v>4</v>
      </c>
      <c r="G152">
        <f t="shared" si="90"/>
        <v>3</v>
      </c>
      <c r="H152" t="str">
        <f>IF(V152="","",IFERROR(VLOOKUP(TRIM($V152),KEY!$B$2:$E$58,3,FALSE),""))</f>
        <v>OC</v>
      </c>
      <c r="I152" t="str">
        <f t="shared" si="91"/>
        <v>WEST-5</v>
      </c>
      <c r="J152" t="str">
        <f t="shared" si="84"/>
        <v>Jan 2024-WEST-5</v>
      </c>
      <c r="K152">
        <f t="shared" si="92"/>
        <v>5</v>
      </c>
      <c r="L152">
        <f t="shared" si="93"/>
        <v>5.17</v>
      </c>
      <c r="M152">
        <f>IF(V152="","",IFERROR(VLOOKUP(TRIM($V152),KEY!$B$2:$E$58,4,FALSE),""))</f>
        <v>17</v>
      </c>
      <c r="N152">
        <f t="shared" si="94"/>
        <v>5</v>
      </c>
      <c r="O152" t="str">
        <f t="shared" si="95"/>
        <v>BM-1</v>
      </c>
      <c r="P152">
        <f t="shared" si="96"/>
        <v>1</v>
      </c>
      <c r="Q152">
        <f t="shared" si="97"/>
        <v>1.06</v>
      </c>
      <c r="R152">
        <f t="shared" si="98"/>
        <v>6</v>
      </c>
      <c r="S152">
        <f t="shared" si="99"/>
        <v>1</v>
      </c>
      <c r="T152" t="str">
        <f>IF(V152="","",IFERROR(VLOOKUP(TRIM($V152),KEY!$B$2:$E$58,2,FALSE),""))</f>
        <v>BM</v>
      </c>
      <c r="V152" s="64" t="s">
        <v>20</v>
      </c>
      <c r="W152" s="64">
        <v>129</v>
      </c>
      <c r="X152" s="64">
        <v>35</v>
      </c>
      <c r="Y152" s="64">
        <v>0.27131782945736432</v>
      </c>
      <c r="Z152" s="64">
        <v>3</v>
      </c>
      <c r="AA152" s="64">
        <v>35</v>
      </c>
      <c r="AB152" s="64">
        <v>0</v>
      </c>
      <c r="AC152" s="64">
        <v>3</v>
      </c>
      <c r="AD152" s="64">
        <v>41</v>
      </c>
      <c r="AE152" s="64">
        <v>0.31782945736434109</v>
      </c>
      <c r="AF152" s="64">
        <v>45</v>
      </c>
      <c r="AG152" s="64">
        <v>42</v>
      </c>
      <c r="AH152" s="64">
        <v>0</v>
      </c>
      <c r="AI152" s="64">
        <v>0.67441860465116277</v>
      </c>
      <c r="AJ152" s="64">
        <v>0</v>
      </c>
      <c r="AK152" s="64">
        <v>1</v>
      </c>
      <c r="AL152" s="64">
        <v>0</v>
      </c>
      <c r="AM152" s="64">
        <v>7.7519379844961239E-3</v>
      </c>
    </row>
    <row r="153" spans="2:39" x14ac:dyDescent="0.2">
      <c r="B153" t="str">
        <f t="shared" si="85"/>
        <v>OC-5</v>
      </c>
      <c r="C153" t="str">
        <f t="shared" si="86"/>
        <v>Nov 2024-OC-5</v>
      </c>
      <c r="D153">
        <f t="shared" si="87"/>
        <v>5</v>
      </c>
      <c r="E153">
        <f t="shared" si="88"/>
        <v>4.05</v>
      </c>
      <c r="F153">
        <f t="shared" si="89"/>
        <v>5</v>
      </c>
      <c r="G153">
        <f t="shared" si="90"/>
        <v>4</v>
      </c>
      <c r="H153" t="str">
        <f>IF(V153="","",IFERROR(VLOOKUP(TRIM($V153),KEY!$B$2:$E$58,3,FALSE),""))</f>
        <v>OC</v>
      </c>
      <c r="I153" t="str">
        <f t="shared" si="91"/>
        <v>WEST-23</v>
      </c>
      <c r="J153" t="str">
        <f t="shared" si="84"/>
        <v>Jan 2024-WEST-23</v>
      </c>
      <c r="K153">
        <f t="shared" si="92"/>
        <v>23</v>
      </c>
      <c r="L153">
        <f t="shared" si="93"/>
        <v>23.18</v>
      </c>
      <c r="M153">
        <f>IF(V153="","",IFERROR(VLOOKUP(TRIM($V153),KEY!$B$2:$E$58,4,FALSE),""))</f>
        <v>18</v>
      </c>
      <c r="N153">
        <f t="shared" si="94"/>
        <v>23</v>
      </c>
      <c r="O153" t="str">
        <f t="shared" si="95"/>
        <v>MI-5</v>
      </c>
      <c r="P153">
        <f t="shared" si="96"/>
        <v>5</v>
      </c>
      <c r="Q153">
        <f t="shared" si="97"/>
        <v>4.01</v>
      </c>
      <c r="R153">
        <f t="shared" si="98"/>
        <v>1</v>
      </c>
      <c r="S153">
        <f t="shared" si="99"/>
        <v>4</v>
      </c>
      <c r="T153" t="str">
        <f>IF(V153="","",IFERROR(VLOOKUP(TRIM($V153),KEY!$B$2:$E$58,2,FALSE),""))</f>
        <v>MI</v>
      </c>
      <c r="V153" s="64" t="s">
        <v>37</v>
      </c>
      <c r="W153" s="64">
        <v>15</v>
      </c>
      <c r="X153" s="64">
        <v>1</v>
      </c>
      <c r="Y153" s="64">
        <v>6.6666666666666666E-2</v>
      </c>
      <c r="Z153" s="64">
        <v>0</v>
      </c>
      <c r="AA153" s="64">
        <v>1</v>
      </c>
      <c r="AB153" s="64">
        <v>0</v>
      </c>
      <c r="AC153" s="64">
        <v>0</v>
      </c>
      <c r="AD153" s="64">
        <v>1</v>
      </c>
      <c r="AE153" s="64">
        <v>6.6666666666666666E-2</v>
      </c>
      <c r="AF153" s="64">
        <v>14</v>
      </c>
      <c r="AG153" s="64">
        <v>0</v>
      </c>
      <c r="AH153" s="64">
        <v>0</v>
      </c>
      <c r="AI153" s="64">
        <v>0.93333333333333335</v>
      </c>
      <c r="AJ153" s="64">
        <v>0</v>
      </c>
      <c r="AK153" s="64">
        <v>0</v>
      </c>
      <c r="AL153" s="64">
        <v>0</v>
      </c>
      <c r="AM153" s="64">
        <v>0</v>
      </c>
    </row>
    <row r="154" spans="2:39" x14ac:dyDescent="0.2">
      <c r="B154" t="str">
        <f t="shared" si="85"/>
        <v>TX-7</v>
      </c>
      <c r="C154" t="str">
        <f t="shared" si="86"/>
        <v>Nov 2024-TX-7</v>
      </c>
      <c r="D154">
        <f t="shared" si="87"/>
        <v>7</v>
      </c>
      <c r="E154">
        <f t="shared" si="88"/>
        <v>7.02</v>
      </c>
      <c r="F154">
        <f t="shared" si="89"/>
        <v>2</v>
      </c>
      <c r="G154">
        <f t="shared" si="90"/>
        <v>7</v>
      </c>
      <c r="H154" t="str">
        <f>IF(V154="","",IFERROR(VLOOKUP(TRIM($V154),KEY!$B$2:$E$58,3,FALSE),""))</f>
        <v>TX</v>
      </c>
      <c r="I154" t="str">
        <f t="shared" si="91"/>
        <v>WEST-35</v>
      </c>
      <c r="J154" t="str">
        <f t="shared" si="84"/>
        <v>Jan 2024-WEST-35</v>
      </c>
      <c r="K154">
        <f t="shared" si="92"/>
        <v>35</v>
      </c>
      <c r="L154">
        <f t="shared" si="93"/>
        <v>26.19</v>
      </c>
      <c r="M154">
        <f>IF(V154="","",IFERROR(VLOOKUP(TRIM($V154),KEY!$B$2:$E$58,4,FALSE),""))</f>
        <v>19</v>
      </c>
      <c r="N154">
        <f t="shared" si="94"/>
        <v>26</v>
      </c>
      <c r="O154" t="str">
        <f t="shared" si="95"/>
        <v>GE-1</v>
      </c>
      <c r="P154">
        <f t="shared" si="96"/>
        <v>1</v>
      </c>
      <c r="Q154">
        <f t="shared" si="97"/>
        <v>1.01</v>
      </c>
      <c r="R154">
        <f t="shared" si="98"/>
        <v>1</v>
      </c>
      <c r="S154">
        <f t="shared" si="99"/>
        <v>1</v>
      </c>
      <c r="T154" t="str">
        <f>IF(V154="","",IFERROR(VLOOKUP(TRIM($V154),KEY!$B$2:$E$58,2,FALSE),""))</f>
        <v>GE</v>
      </c>
      <c r="V154" s="64" t="s">
        <v>263</v>
      </c>
      <c r="W154" s="64">
        <v>1</v>
      </c>
      <c r="X154" s="64">
        <v>0</v>
      </c>
      <c r="Y154" s="64">
        <v>0</v>
      </c>
      <c r="Z154" s="64">
        <v>0</v>
      </c>
      <c r="AA154" s="64">
        <v>0</v>
      </c>
      <c r="AB154" s="64">
        <v>0</v>
      </c>
      <c r="AC154" s="64">
        <v>0</v>
      </c>
      <c r="AD154" s="64">
        <v>0</v>
      </c>
      <c r="AE154" s="64">
        <v>0</v>
      </c>
      <c r="AF154" s="64">
        <v>0</v>
      </c>
      <c r="AG154" s="64">
        <v>0</v>
      </c>
      <c r="AH154" s="64">
        <v>1</v>
      </c>
      <c r="AI154" s="64">
        <v>1</v>
      </c>
      <c r="AJ154" s="64">
        <v>0</v>
      </c>
      <c r="AK154" s="64">
        <v>0</v>
      </c>
      <c r="AL154" s="64">
        <v>0</v>
      </c>
      <c r="AM154" s="64">
        <v>0</v>
      </c>
    </row>
    <row r="155" spans="2:39" x14ac:dyDescent="0.2">
      <c r="B155" t="str">
        <f t="shared" si="85"/>
        <v>TX-3</v>
      </c>
      <c r="C155" t="str">
        <f t="shared" si="86"/>
        <v>Nov 2024-TX-3</v>
      </c>
      <c r="D155">
        <f t="shared" si="87"/>
        <v>3</v>
      </c>
      <c r="E155">
        <f t="shared" si="88"/>
        <v>3.03</v>
      </c>
      <c r="F155">
        <f t="shared" si="89"/>
        <v>3</v>
      </c>
      <c r="G155">
        <f t="shared" si="90"/>
        <v>3</v>
      </c>
      <c r="H155" t="str">
        <f>IF(V155="","",IFERROR(VLOOKUP(TRIM($V155),KEY!$B$2:$E$58,3,FALSE),""))</f>
        <v>TX</v>
      </c>
      <c r="I155" t="str">
        <f t="shared" si="91"/>
        <v>WEST-11</v>
      </c>
      <c r="J155" t="str">
        <f t="shared" si="84"/>
        <v>Jan 2024-WEST-11</v>
      </c>
      <c r="K155">
        <f t="shared" si="92"/>
        <v>11</v>
      </c>
      <c r="L155">
        <f t="shared" si="93"/>
        <v>11.2</v>
      </c>
      <c r="M155">
        <f>IF(V155="","",IFERROR(VLOOKUP(TRIM($V155),KEY!$B$2:$E$58,4,FALSE),""))</f>
        <v>20</v>
      </c>
      <c r="N155">
        <f t="shared" si="94"/>
        <v>11</v>
      </c>
      <c r="O155" t="str">
        <f t="shared" si="95"/>
        <v>HO-2</v>
      </c>
      <c r="P155">
        <f t="shared" si="96"/>
        <v>2</v>
      </c>
      <c r="Q155">
        <f t="shared" si="97"/>
        <v>2.02</v>
      </c>
      <c r="R155">
        <f t="shared" si="98"/>
        <v>2</v>
      </c>
      <c r="S155">
        <f t="shared" si="99"/>
        <v>2</v>
      </c>
      <c r="T155" t="str">
        <f>IF(V155="","",IFERROR(VLOOKUP(TRIM($V155),KEY!$B$2:$E$58,2,FALSE),""))</f>
        <v>HO</v>
      </c>
      <c r="V155" s="64" t="s">
        <v>239</v>
      </c>
      <c r="W155" s="64">
        <v>25</v>
      </c>
      <c r="X155" s="64">
        <v>4</v>
      </c>
      <c r="Y155" s="64">
        <v>0.16</v>
      </c>
      <c r="Z155" s="64">
        <v>0</v>
      </c>
      <c r="AA155" s="64">
        <v>4</v>
      </c>
      <c r="AB155" s="64">
        <v>0</v>
      </c>
      <c r="AC155" s="64">
        <v>0</v>
      </c>
      <c r="AD155" s="64">
        <v>4</v>
      </c>
      <c r="AE155" s="64">
        <v>0.16</v>
      </c>
      <c r="AF155" s="64">
        <v>9</v>
      </c>
      <c r="AG155" s="64">
        <v>6</v>
      </c>
      <c r="AH155" s="64">
        <v>0</v>
      </c>
      <c r="AI155" s="64">
        <v>0.6</v>
      </c>
      <c r="AJ155" s="64">
        <v>0</v>
      </c>
      <c r="AK155" s="64">
        <v>6</v>
      </c>
      <c r="AL155" s="64">
        <v>0</v>
      </c>
      <c r="AM155" s="64">
        <v>0.24</v>
      </c>
    </row>
    <row r="156" spans="2:39" x14ac:dyDescent="0.2">
      <c r="B156" t="str">
        <f t="shared" si="85"/>
        <v>NorCal-2</v>
      </c>
      <c r="C156" t="str">
        <f t="shared" si="86"/>
        <v>Nov 2024-NorCal-2</v>
      </c>
      <c r="D156">
        <f t="shared" si="87"/>
        <v>2</v>
      </c>
      <c r="E156">
        <f t="shared" si="88"/>
        <v>2.04</v>
      </c>
      <c r="F156">
        <f t="shared" si="89"/>
        <v>4</v>
      </c>
      <c r="G156">
        <f t="shared" si="90"/>
        <v>2</v>
      </c>
      <c r="H156" t="str">
        <f>IF(V156="","",IFERROR(VLOOKUP(TRIM($V156),KEY!$B$2:$E$58,3,FALSE),""))</f>
        <v>NorCal</v>
      </c>
      <c r="I156" t="str">
        <f t="shared" si="91"/>
        <v>WEST-13</v>
      </c>
      <c r="J156" t="str">
        <f t="shared" si="84"/>
        <v>Jan 2024-WEST-13</v>
      </c>
      <c r="K156">
        <f t="shared" si="92"/>
        <v>13</v>
      </c>
      <c r="L156">
        <f t="shared" si="93"/>
        <v>13.21</v>
      </c>
      <c r="M156">
        <f>IF(V156="","",IFERROR(VLOOKUP(TRIM($V156),KEY!$B$2:$E$58,4,FALSE),""))</f>
        <v>21</v>
      </c>
      <c r="N156">
        <f t="shared" si="94"/>
        <v>13</v>
      </c>
      <c r="O156" t="str">
        <f t="shared" si="95"/>
        <v>HO-3</v>
      </c>
      <c r="P156">
        <f t="shared" si="96"/>
        <v>3</v>
      </c>
      <c r="Q156">
        <f t="shared" si="97"/>
        <v>3.03</v>
      </c>
      <c r="R156">
        <f t="shared" si="98"/>
        <v>3</v>
      </c>
      <c r="S156">
        <f t="shared" si="99"/>
        <v>3</v>
      </c>
      <c r="T156" t="str">
        <f>IF(V156="","",IFERROR(VLOOKUP(TRIM($V156),KEY!$B$2:$E$58,2,FALSE),""))</f>
        <v>HO</v>
      </c>
      <c r="V156" s="64" t="s">
        <v>23</v>
      </c>
      <c r="W156" s="64">
        <v>17</v>
      </c>
      <c r="X156" s="64">
        <v>2</v>
      </c>
      <c r="Y156" s="64">
        <v>0.11764705882352941</v>
      </c>
      <c r="Z156" s="64">
        <v>0</v>
      </c>
      <c r="AA156" s="64">
        <v>2</v>
      </c>
      <c r="AB156" s="64">
        <v>0</v>
      </c>
      <c r="AC156" s="64">
        <v>0</v>
      </c>
      <c r="AD156" s="64">
        <v>2</v>
      </c>
      <c r="AE156" s="64">
        <v>0.11764705882352941</v>
      </c>
      <c r="AF156" s="64">
        <v>6</v>
      </c>
      <c r="AG156" s="64">
        <v>0</v>
      </c>
      <c r="AH156" s="64">
        <v>6</v>
      </c>
      <c r="AI156" s="64">
        <v>0.70588235294117652</v>
      </c>
      <c r="AJ156" s="64">
        <v>2</v>
      </c>
      <c r="AK156" s="64">
        <v>1</v>
      </c>
      <c r="AL156" s="64">
        <v>0</v>
      </c>
      <c r="AM156" s="64">
        <v>0.17647058823529413</v>
      </c>
    </row>
    <row r="157" spans="2:39" x14ac:dyDescent="0.2">
      <c r="B157" t="str">
        <f t="shared" si="85"/>
        <v>SoCal-1</v>
      </c>
      <c r="C157" t="str">
        <f t="shared" si="86"/>
        <v>Nov 2024-SoCal-1</v>
      </c>
      <c r="D157">
        <f t="shared" si="87"/>
        <v>1</v>
      </c>
      <c r="E157">
        <f t="shared" si="88"/>
        <v>1.05</v>
      </c>
      <c r="F157">
        <f t="shared" si="89"/>
        <v>5</v>
      </c>
      <c r="G157">
        <f t="shared" si="90"/>
        <v>1</v>
      </c>
      <c r="H157" t="str">
        <f>IF(V157="","",IFERROR(VLOOKUP(TRIM($V157),KEY!$B$2:$E$58,3,FALSE),""))</f>
        <v>SoCal</v>
      </c>
      <c r="I157" t="str">
        <f t="shared" si="91"/>
        <v>WEST-6</v>
      </c>
      <c r="J157" t="str">
        <f t="shared" si="84"/>
        <v>Jan 2024-WEST-6</v>
      </c>
      <c r="K157">
        <f t="shared" si="92"/>
        <v>6</v>
      </c>
      <c r="L157">
        <f t="shared" si="93"/>
        <v>6.22</v>
      </c>
      <c r="M157">
        <f>IF(V157="","",IFERROR(VLOOKUP(TRIM($V157),KEY!$B$2:$E$58,4,FALSE),""))</f>
        <v>22</v>
      </c>
      <c r="N157">
        <f t="shared" si="94"/>
        <v>6</v>
      </c>
      <c r="O157" t="str">
        <f t="shared" si="95"/>
        <v>HO-1</v>
      </c>
      <c r="P157">
        <f t="shared" si="96"/>
        <v>1</v>
      </c>
      <c r="Q157">
        <f t="shared" si="97"/>
        <v>1.04</v>
      </c>
      <c r="R157">
        <f t="shared" si="98"/>
        <v>4</v>
      </c>
      <c r="S157">
        <f t="shared" si="99"/>
        <v>1</v>
      </c>
      <c r="T157" t="str">
        <f>IF(V157="","",IFERROR(VLOOKUP(TRIM($V157),KEY!$B$2:$E$58,2,FALSE),""))</f>
        <v>HO</v>
      </c>
      <c r="V157" s="64" t="s">
        <v>24</v>
      </c>
      <c r="W157" s="64">
        <v>27</v>
      </c>
      <c r="X157" s="64">
        <v>6</v>
      </c>
      <c r="Y157" s="64">
        <v>0.22222222222222221</v>
      </c>
      <c r="Z157" s="64">
        <v>0</v>
      </c>
      <c r="AA157" s="64">
        <v>6</v>
      </c>
      <c r="AB157" s="64">
        <v>0</v>
      </c>
      <c r="AC157" s="64">
        <v>2</v>
      </c>
      <c r="AD157" s="64">
        <v>8</v>
      </c>
      <c r="AE157" s="64">
        <v>0.29629629629629628</v>
      </c>
      <c r="AF157" s="64">
        <v>16</v>
      </c>
      <c r="AG157" s="64">
        <v>0</v>
      </c>
      <c r="AH157" s="64">
        <v>0</v>
      </c>
      <c r="AI157" s="64">
        <v>0.59259259259259256</v>
      </c>
      <c r="AJ157" s="64">
        <v>0</v>
      </c>
      <c r="AK157" s="64">
        <v>3</v>
      </c>
      <c r="AL157" s="64">
        <v>0</v>
      </c>
      <c r="AM157" s="64">
        <v>0.1111111111111111</v>
      </c>
    </row>
    <row r="158" spans="2:39" x14ac:dyDescent="0.2">
      <c r="B158" t="str">
        <f t="shared" si="85"/>
        <v>TX-8</v>
      </c>
      <c r="C158" t="str">
        <f t="shared" si="86"/>
        <v>Nov 2024-TX-8</v>
      </c>
      <c r="D158">
        <f t="shared" si="87"/>
        <v>8</v>
      </c>
      <c r="E158">
        <f t="shared" si="88"/>
        <v>7.04</v>
      </c>
      <c r="F158">
        <f t="shared" si="89"/>
        <v>4</v>
      </c>
      <c r="G158">
        <f t="shared" si="90"/>
        <v>7</v>
      </c>
      <c r="H158" t="str">
        <f>IF(V158="","",IFERROR(VLOOKUP(TRIM($V158),KEY!$B$2:$E$58,3,FALSE),""))</f>
        <v>TX</v>
      </c>
      <c r="I158" t="str">
        <f t="shared" si="91"/>
        <v>WEST-36</v>
      </c>
      <c r="J158" t="str">
        <f t="shared" si="84"/>
        <v>Jan 2024-WEST-36</v>
      </c>
      <c r="K158">
        <f t="shared" si="92"/>
        <v>36</v>
      </c>
      <c r="L158">
        <f t="shared" si="93"/>
        <v>26.23</v>
      </c>
      <c r="M158">
        <f>IF(V158="","",IFERROR(VLOOKUP(TRIM($V158),KEY!$B$2:$E$58,4,FALSE),""))</f>
        <v>23</v>
      </c>
      <c r="N158">
        <f t="shared" si="94"/>
        <v>26</v>
      </c>
      <c r="O158" t="str">
        <f t="shared" si="95"/>
        <v>HY-2</v>
      </c>
      <c r="P158">
        <f t="shared" si="96"/>
        <v>2</v>
      </c>
      <c r="Q158">
        <f t="shared" si="97"/>
        <v>2.0099999999999998</v>
      </c>
      <c r="R158">
        <f t="shared" si="98"/>
        <v>1</v>
      </c>
      <c r="S158">
        <f t="shared" si="99"/>
        <v>2</v>
      </c>
      <c r="T158" t="str">
        <f>IF(V158="","",IFERROR(VLOOKUP(TRIM($V158),KEY!$B$2:$E$58,2,FALSE),""))</f>
        <v>HY</v>
      </c>
      <c r="V158" s="64" t="s">
        <v>27</v>
      </c>
      <c r="W158" s="64">
        <v>3</v>
      </c>
      <c r="X158" s="64">
        <v>0</v>
      </c>
      <c r="Y158" s="64">
        <v>0</v>
      </c>
      <c r="Z158" s="64">
        <v>1</v>
      </c>
      <c r="AA158" s="64">
        <v>0</v>
      </c>
      <c r="AB158" s="64">
        <v>0</v>
      </c>
      <c r="AC158" s="64">
        <v>0</v>
      </c>
      <c r="AD158" s="64">
        <v>1</v>
      </c>
      <c r="AE158" s="64">
        <v>0.33333333333333331</v>
      </c>
      <c r="AF158" s="64">
        <v>2</v>
      </c>
      <c r="AG158" s="64">
        <v>0</v>
      </c>
      <c r="AH158" s="64">
        <v>0</v>
      </c>
      <c r="AI158" s="64">
        <v>0.66666666666666663</v>
      </c>
      <c r="AJ158" s="64">
        <v>0</v>
      </c>
      <c r="AK158" s="64">
        <v>0</v>
      </c>
      <c r="AL158" s="64">
        <v>0</v>
      </c>
      <c r="AM158" s="64">
        <v>0</v>
      </c>
    </row>
    <row r="159" spans="2:39" x14ac:dyDescent="0.2">
      <c r="B159" t="str">
        <f t="shared" si="85"/>
        <v>SoCal-2</v>
      </c>
      <c r="C159" t="str">
        <f t="shared" si="86"/>
        <v>Nov 2024-SoCal-2</v>
      </c>
      <c r="D159">
        <f t="shared" si="87"/>
        <v>2</v>
      </c>
      <c r="E159">
        <f t="shared" si="88"/>
        <v>1.06</v>
      </c>
      <c r="F159">
        <f t="shared" si="89"/>
        <v>6</v>
      </c>
      <c r="G159">
        <f t="shared" si="90"/>
        <v>1</v>
      </c>
      <c r="H159" t="str">
        <f>IF(V159="","",IFERROR(VLOOKUP(TRIM($V159),KEY!$B$2:$E$58,3,FALSE),""))</f>
        <v>SoCal</v>
      </c>
      <c r="I159" t="str">
        <f t="shared" si="91"/>
        <v>WEST-7</v>
      </c>
      <c r="J159" t="str">
        <f t="shared" si="84"/>
        <v>Jan 2024-WEST-7</v>
      </c>
      <c r="K159">
        <f t="shared" si="92"/>
        <v>7</v>
      </c>
      <c r="L159">
        <f t="shared" si="93"/>
        <v>6.24</v>
      </c>
      <c r="M159">
        <f>IF(V159="","",IFERROR(VLOOKUP(TRIM($V159),KEY!$B$2:$E$58,4,FALSE),""))</f>
        <v>24</v>
      </c>
      <c r="N159">
        <f t="shared" si="94"/>
        <v>6</v>
      </c>
      <c r="O159" t="str">
        <f t="shared" si="95"/>
        <v>AC-2</v>
      </c>
      <c r="P159">
        <f t="shared" si="96"/>
        <v>2</v>
      </c>
      <c r="Q159">
        <f t="shared" si="97"/>
        <v>2.04</v>
      </c>
      <c r="R159">
        <f t="shared" si="98"/>
        <v>4</v>
      </c>
      <c r="S159">
        <f t="shared" si="99"/>
        <v>2</v>
      </c>
      <c r="T159" t="str">
        <f>IF(V159="","",IFERROR(VLOOKUP(TRIM($V159),KEY!$B$2:$E$58,2,FALSE),""))</f>
        <v>AC</v>
      </c>
      <c r="V159" s="64" t="s">
        <v>73</v>
      </c>
      <c r="W159" s="64">
        <v>9</v>
      </c>
      <c r="X159" s="64">
        <v>2</v>
      </c>
      <c r="Y159" s="64">
        <v>0.22222222222222221</v>
      </c>
      <c r="Z159" s="64">
        <v>0</v>
      </c>
      <c r="AA159" s="64">
        <v>2</v>
      </c>
      <c r="AB159" s="64">
        <v>0</v>
      </c>
      <c r="AC159" s="64">
        <v>1</v>
      </c>
      <c r="AD159" s="64">
        <v>3</v>
      </c>
      <c r="AE159" s="64">
        <v>0.33333333333333331</v>
      </c>
      <c r="AF159" s="64">
        <v>5</v>
      </c>
      <c r="AG159" s="64">
        <v>0</v>
      </c>
      <c r="AH159" s="64">
        <v>0</v>
      </c>
      <c r="AI159" s="64">
        <v>0.55555555555555558</v>
      </c>
      <c r="AJ159" s="64">
        <v>0</v>
      </c>
      <c r="AK159" s="64">
        <v>1</v>
      </c>
      <c r="AL159" s="64">
        <v>0</v>
      </c>
      <c r="AM159" s="64">
        <v>0.1111111111111111</v>
      </c>
    </row>
    <row r="160" spans="2:39" x14ac:dyDescent="0.2">
      <c r="B160" t="str">
        <f t="shared" si="85"/>
        <v>SoCal-9</v>
      </c>
      <c r="C160" t="str">
        <f t="shared" si="86"/>
        <v>Nov 2024-SoCal-9</v>
      </c>
      <c r="D160">
        <f t="shared" si="87"/>
        <v>9</v>
      </c>
      <c r="E160">
        <f t="shared" si="88"/>
        <v>6.07</v>
      </c>
      <c r="F160">
        <f t="shared" si="89"/>
        <v>7</v>
      </c>
      <c r="G160">
        <f t="shared" si="90"/>
        <v>6</v>
      </c>
      <c r="H160" t="str">
        <f>IF(V160="","",IFERROR(VLOOKUP(TRIM($V160),KEY!$B$2:$E$58,3,FALSE),""))</f>
        <v>SoCal</v>
      </c>
      <c r="I160" t="str">
        <f t="shared" si="91"/>
        <v>WEST-37</v>
      </c>
      <c r="J160" t="str">
        <f t="shared" si="84"/>
        <v>Jan 2024-WEST-37</v>
      </c>
      <c r="K160">
        <f t="shared" si="92"/>
        <v>37</v>
      </c>
      <c r="L160">
        <f t="shared" si="93"/>
        <v>26.25</v>
      </c>
      <c r="M160">
        <f>IF(V160="","",IFERROR(VLOOKUP(TRIM($V160),KEY!$B$2:$E$58,4,FALSE),""))</f>
        <v>25</v>
      </c>
      <c r="N160">
        <f t="shared" si="94"/>
        <v>26</v>
      </c>
      <c r="O160" t="str">
        <f t="shared" si="95"/>
        <v>TO-2</v>
      </c>
      <c r="P160">
        <f t="shared" si="96"/>
        <v>2</v>
      </c>
      <c r="Q160">
        <f t="shared" si="97"/>
        <v>2.0099999999999998</v>
      </c>
      <c r="R160">
        <f t="shared" si="98"/>
        <v>1</v>
      </c>
      <c r="S160">
        <f t="shared" si="99"/>
        <v>2</v>
      </c>
      <c r="T160" t="str">
        <f>IF(V160="","",IFERROR(VLOOKUP(TRIM($V160),KEY!$B$2:$E$58,2,FALSE),""))</f>
        <v>TO</v>
      </c>
      <c r="V160" s="64" t="s">
        <v>49</v>
      </c>
      <c r="W160" s="64">
        <v>12</v>
      </c>
      <c r="X160" s="64">
        <v>0</v>
      </c>
      <c r="Y160" s="64">
        <v>0</v>
      </c>
      <c r="Z160" s="64">
        <v>0</v>
      </c>
      <c r="AA160" s="64">
        <v>0</v>
      </c>
      <c r="AB160" s="64">
        <v>2</v>
      </c>
      <c r="AC160" s="64">
        <v>1</v>
      </c>
      <c r="AD160" s="64">
        <v>3</v>
      </c>
      <c r="AE160" s="64">
        <v>0.25</v>
      </c>
      <c r="AF160" s="64">
        <v>0</v>
      </c>
      <c r="AG160" s="64">
        <v>0</v>
      </c>
      <c r="AH160" s="64">
        <v>9</v>
      </c>
      <c r="AI160" s="64">
        <v>0.75</v>
      </c>
      <c r="AJ160" s="64">
        <v>0</v>
      </c>
      <c r="AK160" s="64">
        <v>0</v>
      </c>
      <c r="AL160" s="64">
        <v>0</v>
      </c>
      <c r="AM160" s="64">
        <v>0</v>
      </c>
    </row>
    <row r="161" spans="2:39" x14ac:dyDescent="0.2">
      <c r="B161" t="str">
        <f t="shared" si="85"/>
        <v>AZ-2</v>
      </c>
      <c r="C161" t="str">
        <f t="shared" si="86"/>
        <v>Nov 2024-AZ-2</v>
      </c>
      <c r="D161">
        <f t="shared" si="87"/>
        <v>2</v>
      </c>
      <c r="E161">
        <f t="shared" si="88"/>
        <v>1.06</v>
      </c>
      <c r="F161">
        <f t="shared" si="89"/>
        <v>6</v>
      </c>
      <c r="G161">
        <f t="shared" si="90"/>
        <v>1</v>
      </c>
      <c r="H161" t="str">
        <f>IF(V161="","",IFERROR(VLOOKUP(TRIM($V161),KEY!$B$2:$E$58,3,FALSE),""))</f>
        <v>AZ</v>
      </c>
      <c r="I161" t="str">
        <f t="shared" si="91"/>
        <v>WEST--</v>
      </c>
      <c r="J161" t="str">
        <f t="shared" si="84"/>
        <v>Jan 2024-WEST--</v>
      </c>
      <c r="K161" t="str">
        <f t="shared" si="92"/>
        <v>-</v>
      </c>
      <c r="L161" t="str">
        <f t="shared" si="93"/>
        <v>-</v>
      </c>
      <c r="M161">
        <f>IF(V161="","",IFERROR(VLOOKUP(TRIM($V161),KEY!$B$2:$E$58,4,FALSE),""))</f>
        <v>26</v>
      </c>
      <c r="N161" t="str">
        <f t="shared" si="94"/>
        <v>-</v>
      </c>
      <c r="O161" t="str">
        <f t="shared" si="95"/>
        <v>LA-1</v>
      </c>
      <c r="P161">
        <f t="shared" si="96"/>
        <v>1</v>
      </c>
      <c r="Q161">
        <f t="shared" si="97"/>
        <v>1.01</v>
      </c>
      <c r="R161">
        <f t="shared" si="98"/>
        <v>1</v>
      </c>
      <c r="S161">
        <f t="shared" si="99"/>
        <v>1</v>
      </c>
      <c r="T161" t="str">
        <f>IF(V161="","",IFERROR(VLOOKUP(TRIM($V161),KEY!$B$2:$E$58,2,FALSE),""))</f>
        <v>LA</v>
      </c>
      <c r="V161" s="64" t="s">
        <v>278</v>
      </c>
      <c r="W161" s="64">
        <v>0</v>
      </c>
      <c r="X161" s="64">
        <v>0</v>
      </c>
      <c r="Y161" s="64" t="s">
        <v>274</v>
      </c>
      <c r="Z161" s="64">
        <v>0</v>
      </c>
      <c r="AA161" s="64">
        <v>0</v>
      </c>
      <c r="AB161" s="64">
        <v>0</v>
      </c>
      <c r="AC161" s="64">
        <v>0</v>
      </c>
      <c r="AD161" s="64">
        <v>0</v>
      </c>
      <c r="AE161" s="64" t="s">
        <v>274</v>
      </c>
      <c r="AF161" s="64">
        <v>0</v>
      </c>
      <c r="AG161" s="64">
        <v>0</v>
      </c>
      <c r="AH161" s="64">
        <v>0</v>
      </c>
      <c r="AI161" s="64" t="s">
        <v>274</v>
      </c>
      <c r="AJ161" s="64">
        <v>0</v>
      </c>
      <c r="AK161" s="64">
        <v>0</v>
      </c>
      <c r="AL161" s="64">
        <v>0</v>
      </c>
      <c r="AM161" s="64" t="s">
        <v>274</v>
      </c>
    </row>
    <row r="162" spans="2:39" x14ac:dyDescent="0.2">
      <c r="B162" t="str">
        <f t="shared" si="85"/>
        <v>AZ-3</v>
      </c>
      <c r="C162" t="str">
        <f t="shared" si="86"/>
        <v>Nov 2024-AZ-3</v>
      </c>
      <c r="D162">
        <f t="shared" si="87"/>
        <v>3</v>
      </c>
      <c r="E162">
        <f t="shared" si="88"/>
        <v>1.07</v>
      </c>
      <c r="F162">
        <f t="shared" si="89"/>
        <v>7</v>
      </c>
      <c r="G162">
        <f t="shared" si="90"/>
        <v>1</v>
      </c>
      <c r="H162" t="str">
        <f>IF(V162="","",IFERROR(VLOOKUP(TRIM($V162),KEY!$B$2:$E$58,3,FALSE),""))</f>
        <v>AZ</v>
      </c>
      <c r="I162" t="str">
        <f t="shared" si="91"/>
        <v>WEST--</v>
      </c>
      <c r="J162" t="str">
        <f t="shared" si="84"/>
        <v>Jan 2024-WEST--</v>
      </c>
      <c r="K162" t="str">
        <f t="shared" si="92"/>
        <v>-</v>
      </c>
      <c r="L162" t="str">
        <f t="shared" si="93"/>
        <v>-</v>
      </c>
      <c r="M162">
        <f>IF(V162="","",IFERROR(VLOOKUP(TRIM($V162),KEY!$B$2:$E$58,4,FALSE),""))</f>
        <v>27</v>
      </c>
      <c r="N162" t="str">
        <f t="shared" si="94"/>
        <v>-</v>
      </c>
      <c r="O162" t="str">
        <f t="shared" si="95"/>
        <v>JA-1</v>
      </c>
      <c r="P162">
        <f t="shared" si="96"/>
        <v>1</v>
      </c>
      <c r="Q162">
        <f t="shared" si="97"/>
        <v>1.01</v>
      </c>
      <c r="R162">
        <f t="shared" si="98"/>
        <v>1</v>
      </c>
      <c r="S162">
        <f t="shared" si="99"/>
        <v>1</v>
      </c>
      <c r="T162" t="str">
        <f>IF(V162="","",IFERROR(VLOOKUP(TRIM($V162),KEY!$B$2:$E$58,2,FALSE),""))</f>
        <v>JA</v>
      </c>
      <c r="V162" s="64" t="s">
        <v>261</v>
      </c>
      <c r="W162" s="64">
        <v>0</v>
      </c>
      <c r="X162" s="64">
        <v>0</v>
      </c>
      <c r="Y162" s="64" t="s">
        <v>274</v>
      </c>
      <c r="Z162" s="64">
        <v>0</v>
      </c>
      <c r="AA162" s="64">
        <v>0</v>
      </c>
      <c r="AB162" s="64">
        <v>0</v>
      </c>
      <c r="AC162" s="64">
        <v>0</v>
      </c>
      <c r="AD162" s="64">
        <v>0</v>
      </c>
      <c r="AE162" s="64" t="s">
        <v>274</v>
      </c>
      <c r="AF162" s="64">
        <v>0</v>
      </c>
      <c r="AG162" s="64">
        <v>0</v>
      </c>
      <c r="AH162" s="64">
        <v>0</v>
      </c>
      <c r="AI162" s="64" t="s">
        <v>274</v>
      </c>
      <c r="AJ162" s="64">
        <v>0</v>
      </c>
      <c r="AK162" s="64">
        <v>0</v>
      </c>
      <c r="AL162" s="64">
        <v>0</v>
      </c>
      <c r="AM162" s="64" t="s">
        <v>274</v>
      </c>
    </row>
    <row r="163" spans="2:39" x14ac:dyDescent="0.2">
      <c r="B163" t="str">
        <f t="shared" si="85"/>
        <v>AZ-10</v>
      </c>
      <c r="C163" t="str">
        <f t="shared" si="86"/>
        <v>Nov 2024-AZ-10</v>
      </c>
      <c r="D163">
        <f t="shared" si="87"/>
        <v>10</v>
      </c>
      <c r="E163">
        <f t="shared" si="88"/>
        <v>6.08</v>
      </c>
      <c r="F163">
        <f t="shared" si="89"/>
        <v>8</v>
      </c>
      <c r="G163">
        <f t="shared" si="90"/>
        <v>6</v>
      </c>
      <c r="H163" t="str">
        <f>IF(V163="","",IFERROR(VLOOKUP(TRIM($V163),KEY!$B$2:$E$58,3,FALSE),""))</f>
        <v>AZ</v>
      </c>
      <c r="I163" t="str">
        <f t="shared" si="91"/>
        <v>WEST-38</v>
      </c>
      <c r="J163" t="str">
        <f t="shared" si="84"/>
        <v>Jan 2024-WEST-38</v>
      </c>
      <c r="K163">
        <f t="shared" si="92"/>
        <v>38</v>
      </c>
      <c r="L163">
        <f t="shared" si="93"/>
        <v>26.28</v>
      </c>
      <c r="M163">
        <f>IF(V163="","",IFERROR(VLOOKUP(TRIM($V163),KEY!$B$2:$E$58,4,FALSE),""))</f>
        <v>28</v>
      </c>
      <c r="N163">
        <f t="shared" si="94"/>
        <v>26</v>
      </c>
      <c r="O163" t="str">
        <f t="shared" si="95"/>
        <v>JA-2</v>
      </c>
      <c r="P163">
        <f t="shared" si="96"/>
        <v>2</v>
      </c>
      <c r="Q163">
        <f t="shared" si="97"/>
        <v>1.02</v>
      </c>
      <c r="R163">
        <f t="shared" si="98"/>
        <v>2</v>
      </c>
      <c r="S163">
        <f t="shared" si="99"/>
        <v>1</v>
      </c>
      <c r="T163" t="str">
        <f>IF(V163="","",IFERROR(VLOOKUP(TRIM($V163),KEY!$B$2:$E$58,2,FALSE),""))</f>
        <v>JA</v>
      </c>
      <c r="V163" s="64" t="s">
        <v>260</v>
      </c>
      <c r="W163" s="64">
        <v>2</v>
      </c>
      <c r="X163" s="64">
        <v>0</v>
      </c>
      <c r="Y163" s="64">
        <v>0</v>
      </c>
      <c r="Z163" s="64">
        <v>0</v>
      </c>
      <c r="AA163" s="64">
        <v>0</v>
      </c>
      <c r="AB163" s="64">
        <v>0</v>
      </c>
      <c r="AC163" s="64">
        <v>0</v>
      </c>
      <c r="AD163" s="64">
        <v>0</v>
      </c>
      <c r="AE163" s="64">
        <v>0</v>
      </c>
      <c r="AF163" s="64">
        <v>0</v>
      </c>
      <c r="AG163" s="64">
        <v>0</v>
      </c>
      <c r="AH163" s="64">
        <v>2</v>
      </c>
      <c r="AI163" s="64">
        <v>1</v>
      </c>
      <c r="AJ163" s="64">
        <v>0</v>
      </c>
      <c r="AK163" s="64">
        <v>0</v>
      </c>
      <c r="AL163" s="64">
        <v>0</v>
      </c>
      <c r="AM163" s="64">
        <v>0</v>
      </c>
    </row>
    <row r="164" spans="2:39" x14ac:dyDescent="0.2">
      <c r="B164" t="str">
        <f t="shared" si="85"/>
        <v>TX-1</v>
      </c>
      <c r="C164" t="str">
        <f t="shared" si="86"/>
        <v>Nov 2024-TX-1</v>
      </c>
      <c r="D164">
        <f t="shared" si="87"/>
        <v>1</v>
      </c>
      <c r="E164">
        <f t="shared" si="88"/>
        <v>1.05</v>
      </c>
      <c r="F164">
        <f t="shared" si="89"/>
        <v>5</v>
      </c>
      <c r="G164">
        <f t="shared" si="90"/>
        <v>1</v>
      </c>
      <c r="H164" t="str">
        <f>IF(V164="","",IFERROR(VLOOKUP(TRIM($V164),KEY!$B$2:$E$58,3,FALSE),""))</f>
        <v>TX</v>
      </c>
      <c r="I164" t="str">
        <f t="shared" si="91"/>
        <v>WEST-3</v>
      </c>
      <c r="J164" t="str">
        <f t="shared" si="84"/>
        <v>Jan 2024-WEST-3</v>
      </c>
      <c r="K164">
        <f t="shared" si="92"/>
        <v>3</v>
      </c>
      <c r="L164">
        <f t="shared" si="93"/>
        <v>2.29</v>
      </c>
      <c r="M164">
        <f>IF(V164="","",IFERROR(VLOOKUP(TRIM($V164),KEY!$B$2:$E$58,4,FALSE),""))</f>
        <v>29</v>
      </c>
      <c r="N164">
        <f t="shared" si="94"/>
        <v>2</v>
      </c>
      <c r="O164" t="str">
        <f t="shared" si="95"/>
        <v>LE-1</v>
      </c>
      <c r="P164">
        <f t="shared" si="96"/>
        <v>1</v>
      </c>
      <c r="Q164">
        <f t="shared" si="97"/>
        <v>1.01</v>
      </c>
      <c r="R164">
        <f t="shared" si="98"/>
        <v>1</v>
      </c>
      <c r="S164">
        <f t="shared" si="99"/>
        <v>1</v>
      </c>
      <c r="T164" t="str">
        <f>IF(V164="","",IFERROR(VLOOKUP(TRIM($V164),KEY!$B$2:$E$58,2,FALSE),""))</f>
        <v>LE</v>
      </c>
      <c r="V164" s="64" t="s">
        <v>29</v>
      </c>
      <c r="W164" s="64">
        <v>12</v>
      </c>
      <c r="X164" s="64">
        <v>4</v>
      </c>
      <c r="Y164" s="64">
        <v>0.33333333333333331</v>
      </c>
      <c r="Z164" s="64">
        <v>0</v>
      </c>
      <c r="AA164" s="64">
        <v>4</v>
      </c>
      <c r="AB164" s="64">
        <v>0</v>
      </c>
      <c r="AC164" s="64">
        <v>0</v>
      </c>
      <c r="AD164" s="64">
        <v>4</v>
      </c>
      <c r="AE164" s="64">
        <v>0.33333333333333331</v>
      </c>
      <c r="AF164" s="64">
        <v>1</v>
      </c>
      <c r="AG164" s="64">
        <v>0</v>
      </c>
      <c r="AH164" s="64">
        <v>7</v>
      </c>
      <c r="AI164" s="64">
        <v>0.66666666666666663</v>
      </c>
      <c r="AJ164" s="64">
        <v>0</v>
      </c>
      <c r="AK164" s="64">
        <v>0</v>
      </c>
      <c r="AL164" s="64">
        <v>0</v>
      </c>
      <c r="AM164" s="64">
        <v>0</v>
      </c>
    </row>
    <row r="165" spans="2:39" x14ac:dyDescent="0.2">
      <c r="B165" t="str">
        <f t="shared" si="85"/>
        <v>AZ-11</v>
      </c>
      <c r="C165" t="str">
        <f t="shared" si="86"/>
        <v>Nov 2024-AZ-11</v>
      </c>
      <c r="D165">
        <f t="shared" si="87"/>
        <v>11</v>
      </c>
      <c r="E165">
        <f t="shared" si="88"/>
        <v>6.09</v>
      </c>
      <c r="F165">
        <f t="shared" si="89"/>
        <v>9</v>
      </c>
      <c r="G165">
        <f t="shared" si="90"/>
        <v>6</v>
      </c>
      <c r="H165" t="str">
        <f>IF(V165="","",IFERROR(VLOOKUP(TRIM($V165),KEY!$B$2:$E$58,3,FALSE),""))</f>
        <v>AZ</v>
      </c>
      <c r="I165" t="str">
        <f t="shared" si="91"/>
        <v>WEST-39</v>
      </c>
      <c r="J165" t="str">
        <f t="shared" si="84"/>
        <v>Jan 2024-WEST-39</v>
      </c>
      <c r="K165">
        <f t="shared" si="92"/>
        <v>39</v>
      </c>
      <c r="L165">
        <f t="shared" si="93"/>
        <v>26.3</v>
      </c>
      <c r="M165">
        <f>IF(V165="","",IFERROR(VLOOKUP(TRIM($V165),KEY!$B$2:$E$58,4,FALSE),""))</f>
        <v>30</v>
      </c>
      <c r="N165">
        <f t="shared" si="94"/>
        <v>26</v>
      </c>
      <c r="O165" t="str">
        <f t="shared" si="95"/>
        <v>LE-2</v>
      </c>
      <c r="P165">
        <f t="shared" si="96"/>
        <v>2</v>
      </c>
      <c r="Q165">
        <f t="shared" si="97"/>
        <v>2.02</v>
      </c>
      <c r="R165">
        <f t="shared" si="98"/>
        <v>2</v>
      </c>
      <c r="S165">
        <f t="shared" si="99"/>
        <v>2</v>
      </c>
      <c r="T165" t="str">
        <f>IF(V165="","",IFERROR(VLOOKUP(TRIM($V165),KEY!$B$2:$E$58,2,FALSE),""))</f>
        <v>LE</v>
      </c>
      <c r="V165" s="64" t="s">
        <v>30</v>
      </c>
      <c r="W165" s="64">
        <v>3</v>
      </c>
      <c r="X165" s="64">
        <v>0</v>
      </c>
      <c r="Y165" s="64">
        <v>0</v>
      </c>
      <c r="Z165" s="64">
        <v>0</v>
      </c>
      <c r="AA165" s="64">
        <v>0</v>
      </c>
      <c r="AB165" s="64">
        <v>0</v>
      </c>
      <c r="AC165" s="64">
        <v>0</v>
      </c>
      <c r="AD165" s="64">
        <v>0</v>
      </c>
      <c r="AE165" s="64">
        <v>0</v>
      </c>
      <c r="AF165" s="64">
        <v>0</v>
      </c>
      <c r="AG165" s="64">
        <v>0</v>
      </c>
      <c r="AH165" s="64">
        <v>3</v>
      </c>
      <c r="AI165" s="64">
        <v>1</v>
      </c>
      <c r="AJ165" s="64">
        <v>0</v>
      </c>
      <c r="AK165" s="64">
        <v>0</v>
      </c>
      <c r="AL165" s="64">
        <v>0</v>
      </c>
      <c r="AM165" s="64">
        <v>0</v>
      </c>
    </row>
    <row r="166" spans="2:39" x14ac:dyDescent="0.2">
      <c r="B166" t="str">
        <f t="shared" si="85"/>
        <v>TX-9</v>
      </c>
      <c r="C166" t="str">
        <f t="shared" si="86"/>
        <v>Nov 2024-TX-9</v>
      </c>
      <c r="D166">
        <f t="shared" si="87"/>
        <v>9</v>
      </c>
      <c r="E166">
        <f t="shared" si="88"/>
        <v>7.06</v>
      </c>
      <c r="F166">
        <f t="shared" si="89"/>
        <v>6</v>
      </c>
      <c r="G166">
        <f t="shared" si="90"/>
        <v>7</v>
      </c>
      <c r="H166" t="str">
        <f>IF(V166="","",IFERROR(VLOOKUP(TRIM($V166),KEY!$B$2:$E$58,3,FALSE),""))</f>
        <v>TX</v>
      </c>
      <c r="I166" t="str">
        <f t="shared" si="91"/>
        <v>WEST-40</v>
      </c>
      <c r="J166" t="str">
        <f t="shared" si="84"/>
        <v>Jan 2024-WEST-40</v>
      </c>
      <c r="K166">
        <f t="shared" si="92"/>
        <v>40</v>
      </c>
      <c r="L166">
        <f t="shared" si="93"/>
        <v>26.31</v>
      </c>
      <c r="M166">
        <f>IF(V166="","",IFERROR(VLOOKUP(TRIM($V166),KEY!$B$2:$E$58,4,FALSE),""))</f>
        <v>31</v>
      </c>
      <c r="N166">
        <f t="shared" si="94"/>
        <v>26</v>
      </c>
      <c r="O166" t="str">
        <f t="shared" si="95"/>
        <v>LE-3</v>
      </c>
      <c r="P166">
        <f t="shared" si="96"/>
        <v>3</v>
      </c>
      <c r="Q166">
        <f t="shared" si="97"/>
        <v>2.0299999999999998</v>
      </c>
      <c r="R166">
        <f t="shared" si="98"/>
        <v>3</v>
      </c>
      <c r="S166">
        <f t="shared" si="99"/>
        <v>2</v>
      </c>
      <c r="T166" t="str">
        <f>IF(V166="","",IFERROR(VLOOKUP(TRIM($V166),KEY!$B$2:$E$58,2,FALSE),""))</f>
        <v>LE</v>
      </c>
      <c r="V166" s="64" t="s">
        <v>31</v>
      </c>
      <c r="W166" s="64">
        <v>5</v>
      </c>
      <c r="X166" s="64">
        <v>0</v>
      </c>
      <c r="Y166" s="64">
        <v>0</v>
      </c>
      <c r="Z166" s="64">
        <v>0</v>
      </c>
      <c r="AA166" s="64">
        <v>0</v>
      </c>
      <c r="AB166" s="64">
        <v>0</v>
      </c>
      <c r="AC166" s="64">
        <v>0</v>
      </c>
      <c r="AD166" s="64">
        <v>0</v>
      </c>
      <c r="AE166" s="64">
        <v>0</v>
      </c>
      <c r="AF166" s="64">
        <v>0</v>
      </c>
      <c r="AG166" s="64">
        <v>0</v>
      </c>
      <c r="AH166" s="64">
        <v>5</v>
      </c>
      <c r="AI166" s="64">
        <v>1</v>
      </c>
      <c r="AJ166" s="64">
        <v>0</v>
      </c>
      <c r="AK166" s="64">
        <v>0</v>
      </c>
      <c r="AL166" s="64">
        <v>0</v>
      </c>
      <c r="AM166" s="64">
        <v>0</v>
      </c>
    </row>
    <row r="167" spans="2:39" x14ac:dyDescent="0.2">
      <c r="B167" t="str">
        <f t="shared" si="85"/>
        <v>SoCal-10</v>
      </c>
      <c r="C167" t="str">
        <f t="shared" si="86"/>
        <v>Nov 2024-SoCal-10</v>
      </c>
      <c r="D167">
        <f t="shared" si="87"/>
        <v>10</v>
      </c>
      <c r="E167">
        <f t="shared" si="88"/>
        <v>6.08</v>
      </c>
      <c r="F167">
        <f t="shared" si="89"/>
        <v>8</v>
      </c>
      <c r="G167">
        <f t="shared" si="90"/>
        <v>6</v>
      </c>
      <c r="H167" t="str">
        <f>IF(V167="","",IFERROR(VLOOKUP(TRIM($V167),KEY!$B$2:$E$58,3,FALSE),""))</f>
        <v>SoCal</v>
      </c>
      <c r="I167" t="str">
        <f t="shared" si="91"/>
        <v>WEST-41</v>
      </c>
      <c r="J167" t="str">
        <f t="shared" si="84"/>
        <v>Jan 2024-WEST-41</v>
      </c>
      <c r="K167">
        <f t="shared" si="92"/>
        <v>41</v>
      </c>
      <c r="L167">
        <f t="shared" si="93"/>
        <v>26.32</v>
      </c>
      <c r="M167">
        <f>IF(V167="","",IFERROR(VLOOKUP(TRIM($V167),KEY!$B$2:$E$58,4,FALSE),""))</f>
        <v>32</v>
      </c>
      <c r="N167">
        <f t="shared" si="94"/>
        <v>26</v>
      </c>
      <c r="O167" t="str">
        <f t="shared" si="95"/>
        <v>LE-4</v>
      </c>
      <c r="P167">
        <f t="shared" si="96"/>
        <v>4</v>
      </c>
      <c r="Q167">
        <f t="shared" si="97"/>
        <v>2.04</v>
      </c>
      <c r="R167">
        <f t="shared" si="98"/>
        <v>4</v>
      </c>
      <c r="S167">
        <f t="shared" si="99"/>
        <v>2</v>
      </c>
      <c r="T167" t="str">
        <f>IF(V167="","",IFERROR(VLOOKUP(TRIM($V167),KEY!$B$2:$E$58,2,FALSE),""))</f>
        <v>LE</v>
      </c>
      <c r="V167" s="64" t="s">
        <v>32</v>
      </c>
      <c r="W167" s="64">
        <v>19</v>
      </c>
      <c r="X167" s="64">
        <v>0</v>
      </c>
      <c r="Y167" s="64">
        <v>0</v>
      </c>
      <c r="Z167" s="64">
        <v>0</v>
      </c>
      <c r="AA167" s="64">
        <v>0</v>
      </c>
      <c r="AB167" s="64">
        <v>0</v>
      </c>
      <c r="AC167" s="64">
        <v>0</v>
      </c>
      <c r="AD167" s="64">
        <v>0</v>
      </c>
      <c r="AE167" s="64">
        <v>0</v>
      </c>
      <c r="AF167" s="64">
        <v>0</v>
      </c>
      <c r="AG167" s="64">
        <v>0</v>
      </c>
      <c r="AH167" s="64">
        <v>19</v>
      </c>
      <c r="AI167" s="64">
        <v>1</v>
      </c>
      <c r="AJ167" s="64">
        <v>0</v>
      </c>
      <c r="AK167" s="64">
        <v>0</v>
      </c>
      <c r="AL167" s="64">
        <v>0</v>
      </c>
      <c r="AM167" s="64">
        <v>0</v>
      </c>
    </row>
    <row r="168" spans="2:39" x14ac:dyDescent="0.2">
      <c r="B168" t="str">
        <f t="shared" si="85"/>
        <v>OC-9</v>
      </c>
      <c r="C168" t="str">
        <f t="shared" si="86"/>
        <v>Nov 2024-OC-9</v>
      </c>
      <c r="D168">
        <f t="shared" si="87"/>
        <v>9</v>
      </c>
      <c r="E168">
        <f t="shared" si="88"/>
        <v>6.06</v>
      </c>
      <c r="F168">
        <f t="shared" si="89"/>
        <v>6</v>
      </c>
      <c r="G168">
        <f t="shared" si="90"/>
        <v>6</v>
      </c>
      <c r="H168" t="str">
        <f>IF(V168="","",IFERROR(VLOOKUP(TRIM($V168),KEY!$B$2:$E$58,3,FALSE),""))</f>
        <v>OC</v>
      </c>
      <c r="I168" t="str">
        <f t="shared" si="91"/>
        <v>WEST-42</v>
      </c>
      <c r="J168" t="str">
        <f t="shared" ref="J168:J192" si="100">IF(V168="","",$Y$1&amp;"-"&amp;I168)</f>
        <v>Jan 2024-WEST-42</v>
      </c>
      <c r="K168">
        <f t="shared" si="92"/>
        <v>42</v>
      </c>
      <c r="L168">
        <f t="shared" si="93"/>
        <v>26.33</v>
      </c>
      <c r="M168">
        <f>IF(V168="","",IFERROR(VLOOKUP(TRIM($V168),KEY!$B$2:$E$58,4,FALSE),""))</f>
        <v>33</v>
      </c>
      <c r="N168">
        <f t="shared" si="94"/>
        <v>26</v>
      </c>
      <c r="O168" t="str">
        <f t="shared" si="95"/>
        <v>LI-1</v>
      </c>
      <c r="P168">
        <f t="shared" si="96"/>
        <v>1</v>
      </c>
      <c r="Q168">
        <f t="shared" si="97"/>
        <v>1.01</v>
      </c>
      <c r="R168">
        <f t="shared" si="98"/>
        <v>1</v>
      </c>
      <c r="S168">
        <f t="shared" si="99"/>
        <v>1</v>
      </c>
      <c r="T168" t="str">
        <f>IF(V168="","",IFERROR(VLOOKUP(TRIM($V168),KEY!$B$2:$E$58,2,FALSE),""))</f>
        <v>LI</v>
      </c>
      <c r="V168" s="64" t="s">
        <v>33</v>
      </c>
      <c r="W168" s="64">
        <v>6</v>
      </c>
      <c r="X168" s="64">
        <v>0</v>
      </c>
      <c r="Y168" s="64">
        <v>0</v>
      </c>
      <c r="Z168" s="64">
        <v>0</v>
      </c>
      <c r="AA168" s="64">
        <v>0</v>
      </c>
      <c r="AB168" s="64">
        <v>0</v>
      </c>
      <c r="AC168" s="64">
        <v>0</v>
      </c>
      <c r="AD168" s="64">
        <v>0</v>
      </c>
      <c r="AE168" s="64">
        <v>0</v>
      </c>
      <c r="AF168" s="64">
        <v>6</v>
      </c>
      <c r="AG168" s="64">
        <v>0</v>
      </c>
      <c r="AH168" s="64">
        <v>0</v>
      </c>
      <c r="AI168" s="64">
        <v>1</v>
      </c>
      <c r="AJ168" s="64">
        <v>0</v>
      </c>
      <c r="AK168" s="64">
        <v>0</v>
      </c>
      <c r="AL168" s="64">
        <v>0</v>
      </c>
      <c r="AM168" s="64">
        <v>0</v>
      </c>
    </row>
    <row r="169" spans="2:39" x14ac:dyDescent="0.2">
      <c r="B169" t="str">
        <f t="shared" si="85"/>
        <v>SoCal-11</v>
      </c>
      <c r="C169" t="str">
        <f t="shared" si="86"/>
        <v>Nov 2024-SoCal-11</v>
      </c>
      <c r="D169">
        <f t="shared" si="87"/>
        <v>11</v>
      </c>
      <c r="E169">
        <f t="shared" si="88"/>
        <v>6.09</v>
      </c>
      <c r="F169">
        <f t="shared" si="89"/>
        <v>9</v>
      </c>
      <c r="G169">
        <f t="shared" si="90"/>
        <v>6</v>
      </c>
      <c r="H169" t="str">
        <f>IF(V169="","",IFERROR(VLOOKUP(TRIM($V169),KEY!$B$2:$E$58,3,FALSE),""))</f>
        <v>SoCal</v>
      </c>
      <c r="I169" t="str">
        <f t="shared" si="91"/>
        <v>WEST-43</v>
      </c>
      <c r="J169" t="str">
        <f t="shared" si="100"/>
        <v>Jan 2024-WEST-43</v>
      </c>
      <c r="K169">
        <f t="shared" si="92"/>
        <v>43</v>
      </c>
      <c r="L169">
        <f t="shared" si="93"/>
        <v>26.34</v>
      </c>
      <c r="M169">
        <f>IF(V169="","",IFERROR(VLOOKUP(TRIM($V169),KEY!$B$2:$E$58,4,FALSE),""))</f>
        <v>34</v>
      </c>
      <c r="N169">
        <f t="shared" si="94"/>
        <v>26</v>
      </c>
      <c r="O169" t="str">
        <f t="shared" si="95"/>
        <v>MA-1</v>
      </c>
      <c r="P169">
        <f t="shared" si="96"/>
        <v>1</v>
      </c>
      <c r="Q169">
        <f t="shared" si="97"/>
        <v>1.01</v>
      </c>
      <c r="R169">
        <f t="shared" si="98"/>
        <v>1</v>
      </c>
      <c r="S169">
        <f t="shared" si="99"/>
        <v>1</v>
      </c>
      <c r="T169" t="str">
        <f>IF(V169="","",IFERROR(VLOOKUP(TRIM($V169),KEY!$B$2:$E$58,2,FALSE),""))</f>
        <v>MA</v>
      </c>
      <c r="V169" s="64" t="s">
        <v>34</v>
      </c>
      <c r="W169" s="64">
        <v>21</v>
      </c>
      <c r="X169" s="64">
        <v>0</v>
      </c>
      <c r="Y169" s="64">
        <v>0</v>
      </c>
      <c r="Z169" s="64">
        <v>0</v>
      </c>
      <c r="AA169" s="64">
        <v>0</v>
      </c>
      <c r="AB169" s="64">
        <v>0</v>
      </c>
      <c r="AC169" s="64">
        <v>0</v>
      </c>
      <c r="AD169" s="64">
        <v>0</v>
      </c>
      <c r="AE169" s="64">
        <v>0</v>
      </c>
      <c r="AF169" s="64">
        <v>0</v>
      </c>
      <c r="AG169" s="64">
        <v>0</v>
      </c>
      <c r="AH169" s="64">
        <v>21</v>
      </c>
      <c r="AI169" s="64">
        <v>1</v>
      </c>
      <c r="AJ169" s="64">
        <v>0</v>
      </c>
      <c r="AK169" s="64">
        <v>0</v>
      </c>
      <c r="AL169" s="64">
        <v>0</v>
      </c>
      <c r="AM169" s="64">
        <v>0</v>
      </c>
    </row>
    <row r="170" spans="2:39" x14ac:dyDescent="0.2">
      <c r="B170" t="str">
        <f t="shared" si="85"/>
        <v>AZ-12</v>
      </c>
      <c r="C170" t="str">
        <f t="shared" si="86"/>
        <v>Nov 2024-AZ-12</v>
      </c>
      <c r="D170">
        <f t="shared" si="87"/>
        <v>12</v>
      </c>
      <c r="E170">
        <f t="shared" si="88"/>
        <v>6.1</v>
      </c>
      <c r="F170">
        <f t="shared" si="89"/>
        <v>10</v>
      </c>
      <c r="G170">
        <f t="shared" si="90"/>
        <v>6</v>
      </c>
      <c r="H170" t="str">
        <f>IF(V170="","",IFERROR(VLOOKUP(TRIM($V170),KEY!$B$2:$E$58,3,FALSE),""))</f>
        <v>AZ</v>
      </c>
      <c r="I170" t="str">
        <f t="shared" si="91"/>
        <v>WEST-44</v>
      </c>
      <c r="J170" t="str">
        <f t="shared" si="100"/>
        <v>Jan 2024-WEST-44</v>
      </c>
      <c r="K170">
        <f t="shared" si="92"/>
        <v>44</v>
      </c>
      <c r="L170">
        <f t="shared" si="93"/>
        <v>26.35</v>
      </c>
      <c r="M170">
        <f>IF(V170="","",IFERROR(VLOOKUP(TRIM($V170),KEY!$B$2:$E$58,4,FALSE),""))</f>
        <v>35</v>
      </c>
      <c r="N170">
        <f t="shared" si="94"/>
        <v>26</v>
      </c>
      <c r="O170" t="str">
        <f t="shared" si="95"/>
        <v>MB-2</v>
      </c>
      <c r="P170">
        <f t="shared" si="96"/>
        <v>2</v>
      </c>
      <c r="Q170">
        <f t="shared" si="97"/>
        <v>2.0099999999999998</v>
      </c>
      <c r="R170">
        <f t="shared" si="98"/>
        <v>1</v>
      </c>
      <c r="S170">
        <f t="shared" si="99"/>
        <v>2</v>
      </c>
      <c r="T170" t="str">
        <f>IF(V170="","",IFERROR(VLOOKUP(TRIM($V170),KEY!$B$2:$E$58,2,FALSE),""))</f>
        <v>MB</v>
      </c>
      <c r="V170" s="64" t="s">
        <v>35</v>
      </c>
      <c r="W170" s="64">
        <v>6</v>
      </c>
      <c r="X170" s="64">
        <v>0</v>
      </c>
      <c r="Y170" s="64">
        <v>0</v>
      </c>
      <c r="Z170" s="64">
        <v>2</v>
      </c>
      <c r="AA170" s="64">
        <v>0</v>
      </c>
      <c r="AB170" s="64">
        <v>0</v>
      </c>
      <c r="AC170" s="64">
        <v>0</v>
      </c>
      <c r="AD170" s="64">
        <v>2</v>
      </c>
      <c r="AE170" s="64">
        <v>0.33333333333333331</v>
      </c>
      <c r="AF170" s="64">
        <v>2</v>
      </c>
      <c r="AG170" s="64">
        <v>0</v>
      </c>
      <c r="AH170" s="64">
        <v>1</v>
      </c>
      <c r="AI170" s="64">
        <v>0.5</v>
      </c>
      <c r="AJ170" s="64">
        <v>0</v>
      </c>
      <c r="AK170" s="64">
        <v>1</v>
      </c>
      <c r="AL170" s="64">
        <v>0</v>
      </c>
      <c r="AM170" s="64">
        <v>0.16666666666666666</v>
      </c>
    </row>
    <row r="171" spans="2:39" x14ac:dyDescent="0.2">
      <c r="B171" t="str">
        <f t="shared" si="85"/>
        <v>AZ-13</v>
      </c>
      <c r="C171" t="str">
        <f t="shared" si="86"/>
        <v>Nov 2024-AZ-13</v>
      </c>
      <c r="D171">
        <f t="shared" si="87"/>
        <v>13</v>
      </c>
      <c r="E171">
        <f t="shared" si="88"/>
        <v>6.11</v>
      </c>
      <c r="F171">
        <f t="shared" si="89"/>
        <v>11</v>
      </c>
      <c r="G171">
        <f t="shared" si="90"/>
        <v>6</v>
      </c>
      <c r="H171" t="str">
        <f>IF(V171="","",IFERROR(VLOOKUP(TRIM($V171),KEY!$B$2:$E$58,3,FALSE),""))</f>
        <v>AZ</v>
      </c>
      <c r="I171" t="str">
        <f t="shared" si="91"/>
        <v>WEST-45</v>
      </c>
      <c r="J171" t="str">
        <f t="shared" si="100"/>
        <v>Jan 2024-WEST-45</v>
      </c>
      <c r="K171">
        <f t="shared" si="92"/>
        <v>45</v>
      </c>
      <c r="L171">
        <f t="shared" si="93"/>
        <v>26.36</v>
      </c>
      <c r="M171">
        <f>IF(V171="","",IFERROR(VLOOKUP(TRIM($V171),KEY!$B$2:$E$58,4,FALSE),""))</f>
        <v>36</v>
      </c>
      <c r="N171">
        <f t="shared" si="94"/>
        <v>26</v>
      </c>
      <c r="O171" t="str">
        <f t="shared" si="95"/>
        <v>MB-3</v>
      </c>
      <c r="P171">
        <f t="shared" si="96"/>
        <v>3</v>
      </c>
      <c r="Q171">
        <f t="shared" si="97"/>
        <v>2.02</v>
      </c>
      <c r="R171">
        <f t="shared" si="98"/>
        <v>2</v>
      </c>
      <c r="S171">
        <f t="shared" si="99"/>
        <v>2</v>
      </c>
      <c r="T171" t="str">
        <f>IF(V171="","",IFERROR(VLOOKUP(TRIM($V171),KEY!$B$2:$E$58,2,FALSE),""))</f>
        <v>MB</v>
      </c>
      <c r="V171" s="64" t="s">
        <v>270</v>
      </c>
      <c r="W171" s="64">
        <v>12</v>
      </c>
      <c r="X171" s="64">
        <v>0</v>
      </c>
      <c r="Y171" s="64">
        <v>0</v>
      </c>
      <c r="Z171" s="64">
        <v>0</v>
      </c>
      <c r="AA171" s="64">
        <v>0</v>
      </c>
      <c r="AB171" s="64">
        <v>0</v>
      </c>
      <c r="AC171" s="64">
        <v>0</v>
      </c>
      <c r="AD171" s="64">
        <v>0</v>
      </c>
      <c r="AE171" s="64">
        <v>0</v>
      </c>
      <c r="AF171" s="64">
        <v>0</v>
      </c>
      <c r="AG171" s="64">
        <v>0</v>
      </c>
      <c r="AH171" s="64">
        <v>12</v>
      </c>
      <c r="AI171" s="64">
        <v>1</v>
      </c>
      <c r="AJ171" s="64">
        <v>0</v>
      </c>
      <c r="AK171" s="64">
        <v>0</v>
      </c>
      <c r="AL171" s="64">
        <v>0</v>
      </c>
      <c r="AM171" s="64">
        <v>0</v>
      </c>
    </row>
    <row r="172" spans="2:39" x14ac:dyDescent="0.2">
      <c r="B172" t="str">
        <f t="shared" si="85"/>
        <v>SoCal-3</v>
      </c>
      <c r="C172" t="str">
        <f t="shared" si="86"/>
        <v>Nov 2024-SoCal-3</v>
      </c>
      <c r="D172">
        <f t="shared" si="87"/>
        <v>3</v>
      </c>
      <c r="E172">
        <f t="shared" si="88"/>
        <v>3.1</v>
      </c>
      <c r="F172">
        <f t="shared" si="89"/>
        <v>10</v>
      </c>
      <c r="G172">
        <f t="shared" si="90"/>
        <v>3</v>
      </c>
      <c r="H172" t="str">
        <f>IF(V172="","",IFERROR(VLOOKUP(TRIM($V172),KEY!$B$2:$E$58,3,FALSE),""))</f>
        <v>SoCal</v>
      </c>
      <c r="I172" t="str">
        <f t="shared" si="91"/>
        <v>WEST-17</v>
      </c>
      <c r="J172" t="str">
        <f t="shared" si="100"/>
        <v>Jan 2024-WEST-17</v>
      </c>
      <c r="K172">
        <f t="shared" si="92"/>
        <v>17</v>
      </c>
      <c r="L172">
        <f t="shared" si="93"/>
        <v>17.37</v>
      </c>
      <c r="M172">
        <f>IF(V172="","",IFERROR(VLOOKUP(TRIM($V172),KEY!$B$2:$E$58,4,FALSE),""))</f>
        <v>37</v>
      </c>
      <c r="N172">
        <f t="shared" si="94"/>
        <v>17</v>
      </c>
      <c r="O172" t="str">
        <f t="shared" si="95"/>
        <v>MB-1</v>
      </c>
      <c r="P172">
        <f t="shared" si="96"/>
        <v>1</v>
      </c>
      <c r="Q172">
        <f t="shared" si="97"/>
        <v>1.03</v>
      </c>
      <c r="R172">
        <f t="shared" si="98"/>
        <v>3</v>
      </c>
      <c r="S172">
        <f t="shared" si="99"/>
        <v>1</v>
      </c>
      <c r="T172" t="str">
        <f>IF(V172="","",IFERROR(VLOOKUP(TRIM($V172),KEY!$B$2:$E$58,2,FALSE),""))</f>
        <v>MB</v>
      </c>
      <c r="V172" s="64" t="s">
        <v>36</v>
      </c>
      <c r="W172" s="64">
        <v>38</v>
      </c>
      <c r="X172" s="64">
        <v>4</v>
      </c>
      <c r="Y172" s="64">
        <v>0.10526315789473684</v>
      </c>
      <c r="Z172" s="64">
        <v>0</v>
      </c>
      <c r="AA172" s="64">
        <v>4</v>
      </c>
      <c r="AB172" s="64">
        <v>0</v>
      </c>
      <c r="AC172" s="64">
        <v>2</v>
      </c>
      <c r="AD172" s="64">
        <v>6</v>
      </c>
      <c r="AE172" s="64">
        <v>0.15789473684210525</v>
      </c>
      <c r="AF172" s="64">
        <v>2</v>
      </c>
      <c r="AG172" s="64">
        <v>0</v>
      </c>
      <c r="AH172" s="64">
        <v>28</v>
      </c>
      <c r="AI172" s="64">
        <v>0.78947368421052633</v>
      </c>
      <c r="AJ172" s="64">
        <v>1</v>
      </c>
      <c r="AK172" s="64">
        <v>1</v>
      </c>
      <c r="AL172" s="64">
        <v>0</v>
      </c>
      <c r="AM172" s="64">
        <v>5.2631578947368418E-2</v>
      </c>
    </row>
    <row r="173" spans="2:39" x14ac:dyDescent="0.2">
      <c r="B173" t="str">
        <f t="shared" si="85"/>
        <v>AZ-5</v>
      </c>
      <c r="C173" t="str">
        <f t="shared" si="86"/>
        <v>Nov 2024-AZ-5</v>
      </c>
      <c r="D173">
        <f t="shared" si="87"/>
        <v>5</v>
      </c>
      <c r="E173">
        <f t="shared" si="88"/>
        <v>3.12</v>
      </c>
      <c r="F173">
        <f t="shared" si="89"/>
        <v>12</v>
      </c>
      <c r="G173">
        <f t="shared" si="90"/>
        <v>3</v>
      </c>
      <c r="H173" t="str">
        <f>IF(V173="","",IFERROR(VLOOKUP(TRIM($V173),KEY!$B$2:$E$58,3,FALSE),""))</f>
        <v>AZ</v>
      </c>
      <c r="I173" t="str">
        <f t="shared" si="91"/>
        <v>WEST-10</v>
      </c>
      <c r="J173" t="str">
        <f t="shared" si="100"/>
        <v>Jan 2024-WEST-10</v>
      </c>
      <c r="K173">
        <f t="shared" si="92"/>
        <v>10</v>
      </c>
      <c r="L173">
        <f t="shared" si="93"/>
        <v>10.38</v>
      </c>
      <c r="M173">
        <f>IF(V173="","",IFERROR(VLOOKUP(TRIM($V173),KEY!$B$2:$E$58,4,FALSE),""))</f>
        <v>38</v>
      </c>
      <c r="N173">
        <f t="shared" si="94"/>
        <v>10</v>
      </c>
      <c r="O173" t="str">
        <f t="shared" si="95"/>
        <v>MI-1</v>
      </c>
      <c r="P173">
        <f t="shared" si="96"/>
        <v>1</v>
      </c>
      <c r="Q173">
        <f t="shared" si="97"/>
        <v>1.02</v>
      </c>
      <c r="R173">
        <f t="shared" si="98"/>
        <v>2</v>
      </c>
      <c r="S173">
        <f t="shared" si="99"/>
        <v>1</v>
      </c>
      <c r="T173" t="str">
        <f>IF(V173="","",IFERROR(VLOOKUP(TRIM($V173),KEY!$B$2:$E$58,2,FALSE),""))</f>
        <v>MI</v>
      </c>
      <c r="V173" s="64" t="s">
        <v>38</v>
      </c>
      <c r="W173" s="64">
        <v>6</v>
      </c>
      <c r="X173" s="64">
        <v>1</v>
      </c>
      <c r="Y173" s="64">
        <v>0.16666666666666666</v>
      </c>
      <c r="Z173" s="64">
        <v>0</v>
      </c>
      <c r="AA173" s="64">
        <v>1</v>
      </c>
      <c r="AB173" s="64">
        <v>0</v>
      </c>
      <c r="AC173" s="64">
        <v>1</v>
      </c>
      <c r="AD173" s="64">
        <v>2</v>
      </c>
      <c r="AE173" s="64">
        <v>0.33333333333333331</v>
      </c>
      <c r="AF173" s="64">
        <v>0</v>
      </c>
      <c r="AG173" s="64">
        <v>0</v>
      </c>
      <c r="AH173" s="64">
        <v>4</v>
      </c>
      <c r="AI173" s="64">
        <v>0.66666666666666663</v>
      </c>
      <c r="AJ173" s="64">
        <v>0</v>
      </c>
      <c r="AK173" s="64">
        <v>0</v>
      </c>
      <c r="AL173" s="64">
        <v>0</v>
      </c>
      <c r="AM173" s="64">
        <v>0</v>
      </c>
    </row>
    <row r="174" spans="2:39" x14ac:dyDescent="0.2">
      <c r="B174" t="str">
        <f t="shared" si="85"/>
        <v>TX-10</v>
      </c>
      <c r="C174" t="str">
        <f t="shared" si="86"/>
        <v>Nov 2024-TX-10</v>
      </c>
      <c r="D174">
        <f t="shared" si="87"/>
        <v>10</v>
      </c>
      <c r="E174">
        <f t="shared" si="88"/>
        <v>7.07</v>
      </c>
      <c r="F174">
        <f t="shared" si="89"/>
        <v>7</v>
      </c>
      <c r="G174">
        <f t="shared" si="90"/>
        <v>7</v>
      </c>
      <c r="H174" t="str">
        <f>IF(V174="","",IFERROR(VLOOKUP(TRIM($V174),KEY!$B$2:$E$58,3,FALSE),""))</f>
        <v>TX</v>
      </c>
      <c r="I174" t="str">
        <f t="shared" si="91"/>
        <v>WEST-46</v>
      </c>
      <c r="J174" t="str">
        <f t="shared" si="100"/>
        <v>Jan 2024-WEST-46</v>
      </c>
      <c r="K174">
        <f t="shared" si="92"/>
        <v>46</v>
      </c>
      <c r="L174">
        <f t="shared" si="93"/>
        <v>26.39</v>
      </c>
      <c r="M174">
        <f>IF(V174="","",IFERROR(VLOOKUP(TRIM($V174),KEY!$B$2:$E$58,4,FALSE),""))</f>
        <v>39</v>
      </c>
      <c r="N174">
        <f t="shared" si="94"/>
        <v>26</v>
      </c>
      <c r="O174" t="str">
        <f t="shared" si="95"/>
        <v>MI-6</v>
      </c>
      <c r="P174">
        <f t="shared" si="96"/>
        <v>6</v>
      </c>
      <c r="Q174">
        <f t="shared" si="97"/>
        <v>5.03</v>
      </c>
      <c r="R174">
        <f t="shared" si="98"/>
        <v>3</v>
      </c>
      <c r="S174">
        <f t="shared" si="99"/>
        <v>5</v>
      </c>
      <c r="T174" t="str">
        <f>IF(V174="","",IFERROR(VLOOKUP(TRIM($V174),KEY!$B$2:$E$58,2,FALSE),""))</f>
        <v>MI</v>
      </c>
      <c r="V174" s="64" t="s">
        <v>39</v>
      </c>
      <c r="W174" s="64">
        <v>8</v>
      </c>
      <c r="X174" s="64">
        <v>0</v>
      </c>
      <c r="Y174" s="64">
        <v>0</v>
      </c>
      <c r="Z174" s="64">
        <v>0</v>
      </c>
      <c r="AA174" s="64">
        <v>0</v>
      </c>
      <c r="AB174" s="64">
        <v>0</v>
      </c>
      <c r="AC174" s="64">
        <v>0</v>
      </c>
      <c r="AD174" s="64">
        <v>0</v>
      </c>
      <c r="AE174" s="64">
        <v>0</v>
      </c>
      <c r="AF174" s="64">
        <v>0</v>
      </c>
      <c r="AG174" s="64">
        <v>0</v>
      </c>
      <c r="AH174" s="64">
        <v>8</v>
      </c>
      <c r="AI174" s="64">
        <v>1</v>
      </c>
      <c r="AJ174" s="64">
        <v>0</v>
      </c>
      <c r="AK174" s="64">
        <v>0</v>
      </c>
      <c r="AL174" s="64">
        <v>0</v>
      </c>
      <c r="AM174" s="64">
        <v>0</v>
      </c>
    </row>
    <row r="175" spans="2:39" x14ac:dyDescent="0.2">
      <c r="B175" t="str">
        <f t="shared" si="85"/>
        <v>NorCal-1</v>
      </c>
      <c r="C175" t="str">
        <f t="shared" si="86"/>
        <v>Nov 2024-NorCal-1</v>
      </c>
      <c r="D175">
        <f t="shared" si="87"/>
        <v>1</v>
      </c>
      <c r="E175">
        <f t="shared" si="88"/>
        <v>1.05</v>
      </c>
      <c r="F175">
        <f t="shared" si="89"/>
        <v>5</v>
      </c>
      <c r="G175">
        <f t="shared" si="90"/>
        <v>1</v>
      </c>
      <c r="H175" t="str">
        <f>IF(V175="","",IFERROR(VLOOKUP(TRIM($V175),KEY!$B$2:$E$58,3,FALSE),""))</f>
        <v>NorCal</v>
      </c>
      <c r="I175" t="str">
        <f t="shared" si="91"/>
        <v>WEST-12</v>
      </c>
      <c r="J175" t="str">
        <f t="shared" si="100"/>
        <v>Jan 2024-WEST-12</v>
      </c>
      <c r="K175">
        <f t="shared" si="92"/>
        <v>12</v>
      </c>
      <c r="L175">
        <f t="shared" si="93"/>
        <v>12.4</v>
      </c>
      <c r="M175">
        <f>IF(V175="","",IFERROR(VLOOKUP(TRIM($V175),KEY!$B$2:$E$58,4,FALSE),""))</f>
        <v>40</v>
      </c>
      <c r="N175">
        <f t="shared" si="94"/>
        <v>12</v>
      </c>
      <c r="O175" t="str">
        <f t="shared" si="95"/>
        <v>MI-3</v>
      </c>
      <c r="P175">
        <f t="shared" si="96"/>
        <v>3</v>
      </c>
      <c r="Q175">
        <f t="shared" si="97"/>
        <v>2.04</v>
      </c>
      <c r="R175">
        <f t="shared" si="98"/>
        <v>4</v>
      </c>
      <c r="S175">
        <f t="shared" si="99"/>
        <v>2</v>
      </c>
      <c r="T175" t="str">
        <f>IF(V175="","",IFERROR(VLOOKUP(TRIM($V175),KEY!$B$2:$E$58,2,FALSE),""))</f>
        <v>MI</v>
      </c>
      <c r="V175" s="64" t="s">
        <v>40</v>
      </c>
      <c r="W175" s="64">
        <v>7</v>
      </c>
      <c r="X175" s="64">
        <v>1</v>
      </c>
      <c r="Y175" s="64">
        <v>0.14285714285714285</v>
      </c>
      <c r="Z175" s="64">
        <v>0</v>
      </c>
      <c r="AA175" s="64">
        <v>1</v>
      </c>
      <c r="AB175" s="64">
        <v>0</v>
      </c>
      <c r="AC175" s="64">
        <v>0</v>
      </c>
      <c r="AD175" s="64">
        <v>1</v>
      </c>
      <c r="AE175" s="64">
        <v>0.14285714285714285</v>
      </c>
      <c r="AF175" s="64">
        <v>5</v>
      </c>
      <c r="AG175" s="64">
        <v>0</v>
      </c>
      <c r="AH175" s="64">
        <v>0</v>
      </c>
      <c r="AI175" s="64">
        <v>0.7142857142857143</v>
      </c>
      <c r="AJ175" s="64">
        <v>1</v>
      </c>
      <c r="AK175" s="64">
        <v>0</v>
      </c>
      <c r="AL175" s="64">
        <v>0</v>
      </c>
      <c r="AM175" s="64">
        <v>0.14285714285714285</v>
      </c>
    </row>
    <row r="176" spans="2:39" x14ac:dyDescent="0.2">
      <c r="B176" t="str">
        <f t="shared" si="85"/>
        <v>OC-1</v>
      </c>
      <c r="C176" t="str">
        <f t="shared" si="86"/>
        <v>Nov 2024-OC-1</v>
      </c>
      <c r="D176">
        <f t="shared" si="87"/>
        <v>1</v>
      </c>
      <c r="E176">
        <f t="shared" si="88"/>
        <v>1.07</v>
      </c>
      <c r="F176">
        <f t="shared" si="89"/>
        <v>7</v>
      </c>
      <c r="G176">
        <f t="shared" si="90"/>
        <v>1</v>
      </c>
      <c r="H176" t="str">
        <f>IF(V176="","",IFERROR(VLOOKUP(TRIM($V176),KEY!$B$2:$E$58,3,FALSE),""))</f>
        <v>OC</v>
      </c>
      <c r="I176" t="str">
        <f t="shared" si="91"/>
        <v>WEST--</v>
      </c>
      <c r="J176" t="str">
        <f t="shared" si="100"/>
        <v>Jan 2024-WEST--</v>
      </c>
      <c r="K176" t="str">
        <f t="shared" si="92"/>
        <v>-</v>
      </c>
      <c r="L176" t="str">
        <f t="shared" si="93"/>
        <v>-</v>
      </c>
      <c r="M176">
        <f>IF(V176="","",IFERROR(VLOOKUP(TRIM($V176),KEY!$B$2:$E$58,4,FALSE),""))</f>
        <v>41</v>
      </c>
      <c r="N176" t="str">
        <f t="shared" si="94"/>
        <v>-</v>
      </c>
      <c r="O176" t="str">
        <f t="shared" si="95"/>
        <v>MI-2</v>
      </c>
      <c r="P176">
        <f t="shared" si="96"/>
        <v>2</v>
      </c>
      <c r="Q176">
        <f t="shared" si="97"/>
        <v>1.05</v>
      </c>
      <c r="R176">
        <f t="shared" si="98"/>
        <v>5</v>
      </c>
      <c r="S176">
        <f t="shared" si="99"/>
        <v>1</v>
      </c>
      <c r="T176" t="str">
        <f>IF(V176="","",IFERROR(VLOOKUP(TRIM($V176),KEY!$B$2:$E$58,2,FALSE),""))</f>
        <v>MI</v>
      </c>
      <c r="V176" s="64" t="s">
        <v>41</v>
      </c>
      <c r="W176" s="64">
        <v>0</v>
      </c>
      <c r="X176" s="64">
        <v>0</v>
      </c>
      <c r="Y176" s="64" t="s">
        <v>274</v>
      </c>
      <c r="Z176" s="64">
        <v>0</v>
      </c>
      <c r="AA176" s="64">
        <v>0</v>
      </c>
      <c r="AB176" s="64">
        <v>0</v>
      </c>
      <c r="AC176" s="64">
        <v>0</v>
      </c>
      <c r="AD176" s="64">
        <v>0</v>
      </c>
      <c r="AE176" s="64" t="s">
        <v>274</v>
      </c>
      <c r="AF176" s="64">
        <v>0</v>
      </c>
      <c r="AG176" s="64">
        <v>0</v>
      </c>
      <c r="AH176" s="64">
        <v>0</v>
      </c>
      <c r="AI176" s="64" t="s">
        <v>274</v>
      </c>
      <c r="AJ176" s="64">
        <v>0</v>
      </c>
      <c r="AK176" s="64">
        <v>0</v>
      </c>
      <c r="AL176" s="64">
        <v>0</v>
      </c>
      <c r="AM176" s="64" t="s">
        <v>274</v>
      </c>
    </row>
    <row r="177" spans="2:39" x14ac:dyDescent="0.2">
      <c r="B177" t="str">
        <f t="shared" si="85"/>
        <v>SoCal-4</v>
      </c>
      <c r="C177" t="str">
        <f t="shared" si="86"/>
        <v>Nov 2024-SoCal-4</v>
      </c>
      <c r="D177">
        <f t="shared" si="87"/>
        <v>4</v>
      </c>
      <c r="E177">
        <f t="shared" si="88"/>
        <v>4.1100000000000003</v>
      </c>
      <c r="F177">
        <f t="shared" si="89"/>
        <v>11</v>
      </c>
      <c r="G177">
        <f t="shared" si="90"/>
        <v>4</v>
      </c>
      <c r="H177" t="str">
        <f>IF(V177="","",IFERROR(VLOOKUP(TRIM($V177),KEY!$B$2:$E$58,3,FALSE),""))</f>
        <v>SoCal</v>
      </c>
      <c r="I177" t="str">
        <f t="shared" si="91"/>
        <v>WEST-19</v>
      </c>
      <c r="J177" t="str">
        <f t="shared" si="100"/>
        <v>Jan 2024-WEST-19</v>
      </c>
      <c r="K177">
        <f t="shared" si="92"/>
        <v>19</v>
      </c>
      <c r="L177">
        <f t="shared" si="93"/>
        <v>19.420000000000002</v>
      </c>
      <c r="M177">
        <f>IF(V177="","",IFERROR(VLOOKUP(TRIM($V177),KEY!$B$2:$E$58,4,FALSE),""))</f>
        <v>42</v>
      </c>
      <c r="N177">
        <f t="shared" si="94"/>
        <v>19</v>
      </c>
      <c r="O177" t="str">
        <f t="shared" si="95"/>
        <v>MI-4</v>
      </c>
      <c r="P177">
        <f t="shared" si="96"/>
        <v>4</v>
      </c>
      <c r="Q177">
        <f t="shared" si="97"/>
        <v>3.06</v>
      </c>
      <c r="R177">
        <f t="shared" si="98"/>
        <v>6</v>
      </c>
      <c r="S177">
        <f t="shared" si="99"/>
        <v>3</v>
      </c>
      <c r="T177" t="str">
        <f>IF(V177="","",IFERROR(VLOOKUP(TRIM($V177),KEY!$B$2:$E$58,2,FALSE),""))</f>
        <v>MI</v>
      </c>
      <c r="V177" s="64" t="s">
        <v>42</v>
      </c>
      <c r="W177" s="64">
        <v>11</v>
      </c>
      <c r="X177" s="64">
        <v>1</v>
      </c>
      <c r="Y177" s="64">
        <v>9.0909090909090912E-2</v>
      </c>
      <c r="Z177" s="64">
        <v>1</v>
      </c>
      <c r="AA177" s="64">
        <v>1</v>
      </c>
      <c r="AB177" s="64">
        <v>0</v>
      </c>
      <c r="AC177" s="64">
        <v>1</v>
      </c>
      <c r="AD177" s="64">
        <v>3</v>
      </c>
      <c r="AE177" s="64">
        <v>0.27272727272727271</v>
      </c>
      <c r="AF177" s="64">
        <v>8</v>
      </c>
      <c r="AG177" s="64">
        <v>0</v>
      </c>
      <c r="AH177" s="64">
        <v>0</v>
      </c>
      <c r="AI177" s="64">
        <v>0.72727272727272729</v>
      </c>
      <c r="AJ177" s="64">
        <v>0</v>
      </c>
      <c r="AK177" s="64">
        <v>0</v>
      </c>
      <c r="AL177" s="64">
        <v>0</v>
      </c>
      <c r="AM177" s="64">
        <v>0</v>
      </c>
    </row>
    <row r="178" spans="2:39" x14ac:dyDescent="0.2">
      <c r="B178" t="str">
        <f t="shared" si="85"/>
        <v>AZ-14</v>
      </c>
      <c r="C178" t="str">
        <f t="shared" si="86"/>
        <v>Nov 2024-AZ-14</v>
      </c>
      <c r="D178">
        <f t="shared" si="87"/>
        <v>14</v>
      </c>
      <c r="E178">
        <f t="shared" si="88"/>
        <v>6.13</v>
      </c>
      <c r="F178">
        <f t="shared" si="89"/>
        <v>13</v>
      </c>
      <c r="G178">
        <f t="shared" si="90"/>
        <v>6</v>
      </c>
      <c r="H178" t="str">
        <f>IF(V178="","",IFERROR(VLOOKUP(TRIM($V178),KEY!$B$2:$E$58,3,FALSE),""))</f>
        <v>AZ</v>
      </c>
      <c r="I178" t="str">
        <f t="shared" si="91"/>
        <v>WEST-47</v>
      </c>
      <c r="J178" t="str">
        <f t="shared" si="100"/>
        <v>Jan 2024-WEST-47</v>
      </c>
      <c r="K178">
        <f t="shared" si="92"/>
        <v>47</v>
      </c>
      <c r="L178">
        <f t="shared" si="93"/>
        <v>26.43</v>
      </c>
      <c r="M178">
        <f>IF(V178="","",IFERROR(VLOOKUP(TRIM($V178),KEY!$B$2:$E$58,4,FALSE),""))</f>
        <v>43</v>
      </c>
      <c r="N178">
        <f t="shared" si="94"/>
        <v>26</v>
      </c>
      <c r="O178" t="str">
        <f t="shared" si="95"/>
        <v>MI-7</v>
      </c>
      <c r="P178">
        <f t="shared" si="96"/>
        <v>7</v>
      </c>
      <c r="Q178">
        <f t="shared" si="97"/>
        <v>5.07</v>
      </c>
      <c r="R178">
        <f t="shared" si="98"/>
        <v>7</v>
      </c>
      <c r="S178">
        <f t="shared" si="99"/>
        <v>5</v>
      </c>
      <c r="T178" t="str">
        <f>IF(V178="","",IFERROR(VLOOKUP(TRIM($V178),KEY!$B$2:$E$58,2,FALSE),""))</f>
        <v>MI</v>
      </c>
      <c r="V178" s="64" t="s">
        <v>43</v>
      </c>
      <c r="W178" s="64">
        <v>5</v>
      </c>
      <c r="X178" s="64">
        <v>0</v>
      </c>
      <c r="Y178" s="64">
        <v>0</v>
      </c>
      <c r="Z178" s="64">
        <v>0</v>
      </c>
      <c r="AA178" s="64">
        <v>0</v>
      </c>
      <c r="AB178" s="64">
        <v>0</v>
      </c>
      <c r="AC178" s="64">
        <v>0</v>
      </c>
      <c r="AD178" s="64">
        <v>0</v>
      </c>
      <c r="AE178" s="64">
        <v>0</v>
      </c>
      <c r="AF178" s="64">
        <v>0</v>
      </c>
      <c r="AG178" s="64">
        <v>0</v>
      </c>
      <c r="AH178" s="64">
        <v>4</v>
      </c>
      <c r="AI178" s="64">
        <v>0.8</v>
      </c>
      <c r="AJ178" s="64">
        <v>1</v>
      </c>
      <c r="AK178" s="64">
        <v>0</v>
      </c>
      <c r="AL178" s="64">
        <v>0</v>
      </c>
      <c r="AM178" s="64">
        <v>0.2</v>
      </c>
    </row>
    <row r="179" spans="2:39" x14ac:dyDescent="0.2">
      <c r="B179" t="str">
        <f t="shared" si="85"/>
        <v>NorCal-7</v>
      </c>
      <c r="C179" t="str">
        <f t="shared" si="86"/>
        <v>Nov 2024-NorCal-7</v>
      </c>
      <c r="D179">
        <f t="shared" si="87"/>
        <v>7</v>
      </c>
      <c r="E179">
        <f t="shared" si="88"/>
        <v>5.0599999999999996</v>
      </c>
      <c r="F179">
        <f t="shared" si="89"/>
        <v>6</v>
      </c>
      <c r="G179">
        <f t="shared" si="90"/>
        <v>5</v>
      </c>
      <c r="H179" t="str">
        <f>IF(V179="","",IFERROR(VLOOKUP(TRIM($V179),KEY!$B$2:$E$58,3,FALSE),""))</f>
        <v>NorCal</v>
      </c>
      <c r="I179" t="str">
        <f t="shared" si="91"/>
        <v>WEST-48</v>
      </c>
      <c r="J179" t="str">
        <f t="shared" si="100"/>
        <v>Jan 2024-WEST-48</v>
      </c>
      <c r="K179">
        <f t="shared" si="92"/>
        <v>48</v>
      </c>
      <c r="L179">
        <f t="shared" si="93"/>
        <v>26.44</v>
      </c>
      <c r="M179">
        <f>IF(V179="","",IFERROR(VLOOKUP(TRIM($V179),KEY!$B$2:$E$58,4,FALSE),""))</f>
        <v>44</v>
      </c>
      <c r="N179">
        <f t="shared" si="94"/>
        <v>26</v>
      </c>
      <c r="O179" t="str">
        <f t="shared" si="95"/>
        <v>BM-7</v>
      </c>
      <c r="P179">
        <f t="shared" si="96"/>
        <v>7</v>
      </c>
      <c r="Q179">
        <f t="shared" si="97"/>
        <v>5.07</v>
      </c>
      <c r="R179">
        <f t="shared" si="98"/>
        <v>7</v>
      </c>
      <c r="S179">
        <f t="shared" si="99"/>
        <v>5</v>
      </c>
      <c r="T179" t="str">
        <f>IF(V179="","",IFERROR(VLOOKUP(TRIM($V179),KEY!$B$2:$E$58,2,FALSE),""))</f>
        <v>BM</v>
      </c>
      <c r="V179" s="64" t="s">
        <v>21</v>
      </c>
      <c r="W179" s="64">
        <v>76</v>
      </c>
      <c r="X179" s="64">
        <v>0</v>
      </c>
      <c r="Y179" s="64">
        <v>0</v>
      </c>
      <c r="Z179" s="64">
        <v>0</v>
      </c>
      <c r="AA179" s="64">
        <v>0</v>
      </c>
      <c r="AB179" s="64">
        <v>0</v>
      </c>
      <c r="AC179" s="64">
        <v>0</v>
      </c>
      <c r="AD179" s="64">
        <v>0</v>
      </c>
      <c r="AE179" s="64">
        <v>0</v>
      </c>
      <c r="AF179" s="64">
        <v>0</v>
      </c>
      <c r="AG179" s="64">
        <v>0</v>
      </c>
      <c r="AH179" s="64">
        <v>76</v>
      </c>
      <c r="AI179" s="64">
        <v>1</v>
      </c>
      <c r="AJ179" s="64">
        <v>0</v>
      </c>
      <c r="AK179" s="64">
        <v>0</v>
      </c>
      <c r="AL179" s="64">
        <v>0</v>
      </c>
      <c r="AM179" s="64">
        <v>0</v>
      </c>
    </row>
    <row r="180" spans="2:39" x14ac:dyDescent="0.2">
      <c r="B180" t="str">
        <f t="shared" si="85"/>
        <v>AZ-15</v>
      </c>
      <c r="C180" t="str">
        <f t="shared" si="86"/>
        <v>Nov 2024-AZ-15</v>
      </c>
      <c r="D180">
        <f t="shared" si="87"/>
        <v>15</v>
      </c>
      <c r="E180">
        <f t="shared" si="88"/>
        <v>6.14</v>
      </c>
      <c r="F180">
        <f t="shared" si="89"/>
        <v>14</v>
      </c>
      <c r="G180">
        <f t="shared" si="90"/>
        <v>6</v>
      </c>
      <c r="H180" t="str">
        <f>IF(V180="","",IFERROR(VLOOKUP(TRIM($V180),KEY!$B$2:$E$58,3,FALSE),""))</f>
        <v>AZ</v>
      </c>
      <c r="I180" t="str">
        <f t="shared" si="91"/>
        <v>WEST-49</v>
      </c>
      <c r="J180" t="str">
        <f t="shared" si="100"/>
        <v>Jan 2024-WEST-49</v>
      </c>
      <c r="K180">
        <f t="shared" si="92"/>
        <v>49</v>
      </c>
      <c r="L180">
        <f t="shared" si="93"/>
        <v>26.45</v>
      </c>
      <c r="M180">
        <f>IF(V180="","",IFERROR(VLOOKUP(TRIM($V180),KEY!$B$2:$E$58,4,FALSE),""))</f>
        <v>45</v>
      </c>
      <c r="N180">
        <f t="shared" si="94"/>
        <v>26</v>
      </c>
      <c r="O180" t="str">
        <f t="shared" si="95"/>
        <v>PO-2</v>
      </c>
      <c r="P180">
        <f t="shared" si="96"/>
        <v>2</v>
      </c>
      <c r="Q180">
        <f t="shared" si="97"/>
        <v>2.0099999999999998</v>
      </c>
      <c r="R180">
        <f t="shared" si="98"/>
        <v>1</v>
      </c>
      <c r="S180">
        <f t="shared" si="99"/>
        <v>2</v>
      </c>
      <c r="T180" t="str">
        <f>IF(V180="","",IFERROR(VLOOKUP(TRIM($V180),KEY!$B$2:$E$58,2,FALSE),""))</f>
        <v>PO</v>
      </c>
      <c r="V180" s="64" t="s">
        <v>44</v>
      </c>
      <c r="W180" s="64">
        <v>8</v>
      </c>
      <c r="X180" s="64">
        <v>0</v>
      </c>
      <c r="Y180" s="64">
        <v>0</v>
      </c>
      <c r="Z180" s="64">
        <v>0</v>
      </c>
      <c r="AA180" s="64">
        <v>0</v>
      </c>
      <c r="AB180" s="64">
        <v>0</v>
      </c>
      <c r="AC180" s="64">
        <v>0</v>
      </c>
      <c r="AD180" s="64">
        <v>0</v>
      </c>
      <c r="AE180" s="64">
        <v>0</v>
      </c>
      <c r="AF180" s="64">
        <v>0</v>
      </c>
      <c r="AG180" s="64">
        <v>0</v>
      </c>
      <c r="AH180" s="64">
        <v>8</v>
      </c>
      <c r="AI180" s="64">
        <v>1</v>
      </c>
      <c r="AJ180" s="64">
        <v>0</v>
      </c>
      <c r="AK180" s="64">
        <v>0</v>
      </c>
      <c r="AL180" s="64">
        <v>0</v>
      </c>
      <c r="AM180" s="64">
        <v>0</v>
      </c>
    </row>
    <row r="181" spans="2:39" x14ac:dyDescent="0.2">
      <c r="B181" t="str">
        <f t="shared" si="85"/>
        <v>NorCal-3</v>
      </c>
      <c r="C181" t="str">
        <f t="shared" si="86"/>
        <v>Nov 2024-NorCal-3</v>
      </c>
      <c r="D181">
        <f t="shared" si="87"/>
        <v>3</v>
      </c>
      <c r="E181">
        <f t="shared" si="88"/>
        <v>3.07</v>
      </c>
      <c r="F181">
        <f t="shared" si="89"/>
        <v>7</v>
      </c>
      <c r="G181">
        <f t="shared" si="90"/>
        <v>3</v>
      </c>
      <c r="H181" t="str">
        <f>IF(V181="","",IFERROR(VLOOKUP(TRIM($V181),KEY!$B$2:$E$58,3,FALSE),""))</f>
        <v>NorCal</v>
      </c>
      <c r="I181" t="str">
        <f t="shared" si="91"/>
        <v>WEST-20</v>
      </c>
      <c r="J181" t="str">
        <f t="shared" si="100"/>
        <v>Jan 2024-WEST-20</v>
      </c>
      <c r="K181">
        <f t="shared" si="92"/>
        <v>20</v>
      </c>
      <c r="L181">
        <f t="shared" si="93"/>
        <v>19.46</v>
      </c>
      <c r="M181">
        <f>IF(V181="","",IFERROR(VLOOKUP(TRIM($V181),KEY!$B$2:$E$58,4,FALSE),""))</f>
        <v>46</v>
      </c>
      <c r="N181">
        <f t="shared" si="94"/>
        <v>19</v>
      </c>
      <c r="O181" t="str">
        <f t="shared" si="95"/>
        <v>PO-1</v>
      </c>
      <c r="P181">
        <f t="shared" si="96"/>
        <v>1</v>
      </c>
      <c r="Q181">
        <f t="shared" si="97"/>
        <v>1.02</v>
      </c>
      <c r="R181">
        <f t="shared" si="98"/>
        <v>2</v>
      </c>
      <c r="S181">
        <f t="shared" si="99"/>
        <v>1</v>
      </c>
      <c r="T181" t="str">
        <f>IF(V181="","",IFERROR(VLOOKUP(TRIM($V181),KEY!$B$2:$E$58,2,FALSE),""))</f>
        <v>PO</v>
      </c>
      <c r="V181" s="64" t="s">
        <v>45</v>
      </c>
      <c r="W181" s="64">
        <v>11</v>
      </c>
      <c r="X181" s="64">
        <v>1</v>
      </c>
      <c r="Y181" s="64">
        <v>9.0909090909090912E-2</v>
      </c>
      <c r="Z181" s="64">
        <v>0</v>
      </c>
      <c r="AA181" s="64">
        <v>1</v>
      </c>
      <c r="AB181" s="64">
        <v>1</v>
      </c>
      <c r="AC181" s="64">
        <v>2</v>
      </c>
      <c r="AD181" s="64">
        <v>4</v>
      </c>
      <c r="AE181" s="64">
        <v>0.36363636363636365</v>
      </c>
      <c r="AF181" s="64">
        <v>5</v>
      </c>
      <c r="AG181" s="64">
        <v>0</v>
      </c>
      <c r="AH181" s="64">
        <v>0</v>
      </c>
      <c r="AI181" s="64">
        <v>0.45454545454545453</v>
      </c>
      <c r="AJ181" s="64">
        <v>0</v>
      </c>
      <c r="AK181" s="64">
        <v>2</v>
      </c>
      <c r="AL181" s="64">
        <v>0</v>
      </c>
      <c r="AM181" s="64">
        <v>0.18181818181818182</v>
      </c>
    </row>
    <row r="182" spans="2:39" x14ac:dyDescent="0.2">
      <c r="B182" t="str">
        <f t="shared" si="85"/>
        <v>TX-5</v>
      </c>
      <c r="C182" t="str">
        <f t="shared" si="86"/>
        <v>Nov 2024-TX-5</v>
      </c>
      <c r="D182">
        <f t="shared" si="87"/>
        <v>5</v>
      </c>
      <c r="E182">
        <f t="shared" si="88"/>
        <v>5.08</v>
      </c>
      <c r="F182">
        <f t="shared" si="89"/>
        <v>8</v>
      </c>
      <c r="G182">
        <f t="shared" si="90"/>
        <v>5</v>
      </c>
      <c r="H182" t="str">
        <f>IF(V182="","",IFERROR(VLOOKUP(TRIM($V182),KEY!$B$2:$E$58,3,FALSE),""))</f>
        <v>TX</v>
      </c>
      <c r="I182" t="str">
        <f t="shared" si="91"/>
        <v>WEST-16</v>
      </c>
      <c r="J182" t="str">
        <f t="shared" si="100"/>
        <v>Jan 2024-WEST-16</v>
      </c>
      <c r="K182">
        <f t="shared" si="92"/>
        <v>16</v>
      </c>
      <c r="L182">
        <f t="shared" si="93"/>
        <v>16.47</v>
      </c>
      <c r="M182">
        <f>IF(V182="","",IFERROR(VLOOKUP(TRIM($V182),KEY!$B$2:$E$58,4,FALSE),""))</f>
        <v>47</v>
      </c>
      <c r="N182">
        <f t="shared" si="94"/>
        <v>16</v>
      </c>
      <c r="O182" t="str">
        <f t="shared" si="95"/>
        <v>HO-4</v>
      </c>
      <c r="P182">
        <f t="shared" si="96"/>
        <v>4</v>
      </c>
      <c r="Q182">
        <f t="shared" si="97"/>
        <v>4.05</v>
      </c>
      <c r="R182">
        <f t="shared" si="98"/>
        <v>5</v>
      </c>
      <c r="S182">
        <f t="shared" si="99"/>
        <v>4</v>
      </c>
      <c r="T182" t="str">
        <f>IF(V182="","",IFERROR(VLOOKUP(TRIM($V182),KEY!$B$2:$E$58,2,FALSE),""))</f>
        <v>HO</v>
      </c>
      <c r="V182" s="64" t="s">
        <v>25</v>
      </c>
      <c r="W182" s="64">
        <v>28</v>
      </c>
      <c r="X182" s="64">
        <v>3</v>
      </c>
      <c r="Y182" s="64">
        <v>0.10714285714285714</v>
      </c>
      <c r="Z182" s="64">
        <v>1</v>
      </c>
      <c r="AA182" s="64">
        <v>3</v>
      </c>
      <c r="AB182" s="64">
        <v>0</v>
      </c>
      <c r="AC182" s="64">
        <v>0</v>
      </c>
      <c r="AD182" s="64">
        <v>4</v>
      </c>
      <c r="AE182" s="64">
        <v>0.14285714285714285</v>
      </c>
      <c r="AF182" s="64">
        <v>18</v>
      </c>
      <c r="AG182" s="64">
        <v>2</v>
      </c>
      <c r="AH182" s="64">
        <v>0</v>
      </c>
      <c r="AI182" s="64">
        <v>0.7142857142857143</v>
      </c>
      <c r="AJ182" s="64">
        <v>1</v>
      </c>
      <c r="AK182" s="64">
        <v>3</v>
      </c>
      <c r="AL182" s="64">
        <v>0</v>
      </c>
      <c r="AM182" s="64">
        <v>0.14285714285714285</v>
      </c>
    </row>
    <row r="183" spans="2:39" x14ac:dyDescent="0.2">
      <c r="B183" t="str">
        <f t="shared" si="85"/>
        <v>TX-2</v>
      </c>
      <c r="C183" t="str">
        <f t="shared" si="86"/>
        <v>Nov 2024-TX-2</v>
      </c>
      <c r="D183">
        <f t="shared" si="87"/>
        <v>2</v>
      </c>
      <c r="E183">
        <f t="shared" si="88"/>
        <v>2.09</v>
      </c>
      <c r="F183">
        <f t="shared" si="89"/>
        <v>9</v>
      </c>
      <c r="G183">
        <f t="shared" si="90"/>
        <v>2</v>
      </c>
      <c r="H183" t="str">
        <f>IF(V183="","",IFERROR(VLOOKUP(TRIM($V183),KEY!$B$2:$E$58,3,FALSE),""))</f>
        <v>TX</v>
      </c>
      <c r="I183" t="str">
        <f t="shared" si="91"/>
        <v>WEST-8</v>
      </c>
      <c r="J183" t="str">
        <f t="shared" si="100"/>
        <v>Jan 2024-WEST-8</v>
      </c>
      <c r="K183">
        <f t="shared" si="92"/>
        <v>8</v>
      </c>
      <c r="L183">
        <f t="shared" si="93"/>
        <v>8.48</v>
      </c>
      <c r="M183">
        <f>IF(V183="","",IFERROR(VLOOKUP(TRIM($V183),KEY!$B$2:$E$58,4,FALSE),""))</f>
        <v>48</v>
      </c>
      <c r="N183">
        <f t="shared" si="94"/>
        <v>8</v>
      </c>
      <c r="O183" t="str">
        <f t="shared" si="95"/>
        <v>HY-1</v>
      </c>
      <c r="P183">
        <f t="shared" si="96"/>
        <v>1</v>
      </c>
      <c r="Q183">
        <f t="shared" si="97"/>
        <v>1.02</v>
      </c>
      <c r="R183">
        <f t="shared" si="98"/>
        <v>2</v>
      </c>
      <c r="S183">
        <f t="shared" si="99"/>
        <v>1</v>
      </c>
      <c r="T183" t="str">
        <f>IF(V183="","",IFERROR(VLOOKUP(TRIM($V183),KEY!$B$2:$E$58,2,FALSE),""))</f>
        <v>HY</v>
      </c>
      <c r="V183" s="64" t="s">
        <v>28</v>
      </c>
      <c r="W183" s="64">
        <v>5</v>
      </c>
      <c r="X183" s="64">
        <v>1</v>
      </c>
      <c r="Y183" s="64">
        <v>0.2</v>
      </c>
      <c r="Z183" s="64">
        <v>0</v>
      </c>
      <c r="AA183" s="64">
        <v>1</v>
      </c>
      <c r="AB183" s="64">
        <v>0</v>
      </c>
      <c r="AC183" s="64">
        <v>0</v>
      </c>
      <c r="AD183" s="64">
        <v>1</v>
      </c>
      <c r="AE183" s="64">
        <v>0.2</v>
      </c>
      <c r="AF183" s="64">
        <v>3</v>
      </c>
      <c r="AG183" s="64">
        <v>0</v>
      </c>
      <c r="AH183" s="64">
        <v>0</v>
      </c>
      <c r="AI183" s="64">
        <v>0.6</v>
      </c>
      <c r="AJ183" s="64">
        <v>0</v>
      </c>
      <c r="AK183" s="64">
        <v>1</v>
      </c>
      <c r="AL183" s="64">
        <v>0</v>
      </c>
      <c r="AM183" s="64">
        <v>0.2</v>
      </c>
    </row>
    <row r="184" spans="2:39" x14ac:dyDescent="0.2">
      <c r="B184" t="str">
        <f t="shared" si="85"/>
        <v>TX-11</v>
      </c>
      <c r="C184" t="str">
        <f t="shared" si="86"/>
        <v>Nov 2024-TX-11</v>
      </c>
      <c r="D184">
        <f t="shared" si="87"/>
        <v>11</v>
      </c>
      <c r="E184">
        <f t="shared" si="88"/>
        <v>7.1</v>
      </c>
      <c r="F184">
        <f t="shared" si="89"/>
        <v>10</v>
      </c>
      <c r="G184">
        <f t="shared" si="90"/>
        <v>7</v>
      </c>
      <c r="H184" t="str">
        <f>IF(V184="","",IFERROR(VLOOKUP(TRIM($V184),KEY!$B$2:$E$58,3,FALSE),""))</f>
        <v>TX</v>
      </c>
      <c r="I184" t="str">
        <f t="shared" si="91"/>
        <v>WEST-50</v>
      </c>
      <c r="J184" t="str">
        <f t="shared" si="100"/>
        <v>Jan 2024-WEST-50</v>
      </c>
      <c r="K184">
        <f t="shared" si="92"/>
        <v>50</v>
      </c>
      <c r="L184">
        <f t="shared" si="93"/>
        <v>26.49</v>
      </c>
      <c r="M184">
        <f>IF(V184="","",IFERROR(VLOOKUP(TRIM($V184),KEY!$B$2:$E$58,4,FALSE),""))</f>
        <v>49</v>
      </c>
      <c r="N184">
        <f t="shared" si="94"/>
        <v>26</v>
      </c>
      <c r="O184" t="str">
        <f t="shared" si="95"/>
        <v>TO-3</v>
      </c>
      <c r="P184">
        <f t="shared" si="96"/>
        <v>3</v>
      </c>
      <c r="Q184">
        <f t="shared" si="97"/>
        <v>2.02</v>
      </c>
      <c r="R184">
        <f t="shared" si="98"/>
        <v>2</v>
      </c>
      <c r="S184">
        <f t="shared" si="99"/>
        <v>2</v>
      </c>
      <c r="T184" t="str">
        <f>IF(V184="","",IFERROR(VLOOKUP(TRIM($V184),KEY!$B$2:$E$58,2,FALSE),""))</f>
        <v>TO</v>
      </c>
      <c r="V184" s="64" t="s">
        <v>48</v>
      </c>
      <c r="W184" s="64">
        <v>7</v>
      </c>
      <c r="X184" s="64">
        <v>0</v>
      </c>
      <c r="Y184" s="64">
        <v>0</v>
      </c>
      <c r="Z184" s="64">
        <v>0</v>
      </c>
      <c r="AA184" s="64">
        <v>0</v>
      </c>
      <c r="AB184" s="64">
        <v>0</v>
      </c>
      <c r="AC184" s="64">
        <v>1</v>
      </c>
      <c r="AD184" s="64">
        <v>1</v>
      </c>
      <c r="AE184" s="64">
        <v>0.14285714285714285</v>
      </c>
      <c r="AF184" s="64">
        <v>0</v>
      </c>
      <c r="AG184" s="64">
        <v>0</v>
      </c>
      <c r="AH184" s="64">
        <v>6</v>
      </c>
      <c r="AI184" s="64">
        <v>0.8571428571428571</v>
      </c>
      <c r="AJ184" s="64">
        <v>0</v>
      </c>
      <c r="AK184" s="64">
        <v>0</v>
      </c>
      <c r="AL184" s="64">
        <v>0</v>
      </c>
      <c r="AM184" s="64">
        <v>0</v>
      </c>
    </row>
    <row r="185" spans="2:39" x14ac:dyDescent="0.2">
      <c r="B185" t="str">
        <f t="shared" si="85"/>
        <v>AZ-16</v>
      </c>
      <c r="C185" t="str">
        <f t="shared" si="86"/>
        <v>Nov 2024-AZ-16</v>
      </c>
      <c r="D185">
        <f t="shared" si="87"/>
        <v>16</v>
      </c>
      <c r="E185">
        <f t="shared" si="88"/>
        <v>6.15</v>
      </c>
      <c r="F185">
        <f t="shared" si="89"/>
        <v>15</v>
      </c>
      <c r="G185">
        <f t="shared" si="90"/>
        <v>6</v>
      </c>
      <c r="H185" t="str">
        <f>IF(V185="","",IFERROR(VLOOKUP(TRIM($V185),KEY!$B$2:$E$58,3,FALSE),""))</f>
        <v>AZ</v>
      </c>
      <c r="I185" t="str">
        <f t="shared" si="91"/>
        <v>WEST-51</v>
      </c>
      <c r="J185" t="str">
        <f t="shared" si="100"/>
        <v>Jan 2024-WEST-51</v>
      </c>
      <c r="K185">
        <f t="shared" si="92"/>
        <v>51</v>
      </c>
      <c r="L185">
        <f t="shared" si="93"/>
        <v>26.5</v>
      </c>
      <c r="M185">
        <f>IF(V185="","",IFERROR(VLOOKUP(TRIM($V185),KEY!$B$2:$E$58,4,FALSE),""))</f>
        <v>50</v>
      </c>
      <c r="N185">
        <f t="shared" si="94"/>
        <v>26</v>
      </c>
      <c r="O185" t="str">
        <f t="shared" si="95"/>
        <v>FE-1</v>
      </c>
      <c r="P185">
        <f t="shared" si="96"/>
        <v>1</v>
      </c>
      <c r="Q185">
        <f t="shared" si="97"/>
        <v>1.01</v>
      </c>
      <c r="R185">
        <f t="shared" si="98"/>
        <v>1</v>
      </c>
      <c r="S185">
        <f t="shared" si="99"/>
        <v>1</v>
      </c>
      <c r="T185" t="str">
        <f>IF(V185="","",IFERROR(VLOOKUP(TRIM($V185),KEY!$B$2:$E$58,2,FALSE),""))</f>
        <v>FE</v>
      </c>
      <c r="V185" s="64" t="s">
        <v>46</v>
      </c>
      <c r="W185" s="64">
        <v>3</v>
      </c>
      <c r="X185" s="64">
        <v>0</v>
      </c>
      <c r="Y185" s="64">
        <v>0</v>
      </c>
      <c r="Z185" s="64">
        <v>0</v>
      </c>
      <c r="AA185" s="64">
        <v>0</v>
      </c>
      <c r="AB185" s="64">
        <v>0</v>
      </c>
      <c r="AC185" s="64">
        <v>0</v>
      </c>
      <c r="AD185" s="64">
        <v>0</v>
      </c>
      <c r="AE185" s="64">
        <v>0</v>
      </c>
      <c r="AF185" s="64">
        <v>0</v>
      </c>
      <c r="AG185" s="64">
        <v>0</v>
      </c>
      <c r="AH185" s="64">
        <v>3</v>
      </c>
      <c r="AI185" s="64">
        <v>1</v>
      </c>
      <c r="AJ185" s="64">
        <v>0</v>
      </c>
      <c r="AK185" s="64">
        <v>0</v>
      </c>
      <c r="AL185" s="64">
        <v>0</v>
      </c>
      <c r="AM185" s="64">
        <v>0</v>
      </c>
    </row>
    <row r="186" spans="2:39" x14ac:dyDescent="0.2">
      <c r="B186" t="str">
        <f t="shared" si="85"/>
        <v>OC-2</v>
      </c>
      <c r="C186" t="str">
        <f t="shared" si="86"/>
        <v>Nov 2024-OC-2</v>
      </c>
      <c r="D186">
        <f t="shared" si="87"/>
        <v>2</v>
      </c>
      <c r="E186">
        <f t="shared" si="88"/>
        <v>1.08</v>
      </c>
      <c r="F186">
        <f t="shared" si="89"/>
        <v>8</v>
      </c>
      <c r="G186">
        <f t="shared" si="90"/>
        <v>1</v>
      </c>
      <c r="H186" t="str">
        <f>IF(V186="","",IFERROR(VLOOKUP(TRIM($V186),KEY!$B$2:$E$58,3,FALSE),""))</f>
        <v>OC</v>
      </c>
      <c r="I186" t="str">
        <f t="shared" si="91"/>
        <v>WEST-1</v>
      </c>
      <c r="J186" t="str">
        <f t="shared" si="100"/>
        <v>Jan 2024-WEST-1</v>
      </c>
      <c r="K186">
        <f t="shared" si="92"/>
        <v>1</v>
      </c>
      <c r="L186">
        <f t="shared" si="93"/>
        <v>1.51</v>
      </c>
      <c r="M186">
        <f>IF(V186="","",IFERROR(VLOOKUP(TRIM($V186),KEY!$B$2:$E$58,4,FALSE),""))</f>
        <v>51</v>
      </c>
      <c r="N186">
        <f t="shared" si="94"/>
        <v>1</v>
      </c>
      <c r="O186" t="str">
        <f t="shared" si="95"/>
        <v>SU-1</v>
      </c>
      <c r="P186">
        <f t="shared" si="96"/>
        <v>1</v>
      </c>
      <c r="Q186">
        <f t="shared" si="97"/>
        <v>1.01</v>
      </c>
      <c r="R186">
        <f t="shared" si="98"/>
        <v>1</v>
      </c>
      <c r="S186">
        <f t="shared" si="99"/>
        <v>1</v>
      </c>
      <c r="T186" t="str">
        <f>IF(V186="","",IFERROR(VLOOKUP(TRIM($V186),KEY!$B$2:$E$58,2,FALSE),""))</f>
        <v>SU</v>
      </c>
      <c r="V186" s="64" t="s">
        <v>47</v>
      </c>
      <c r="W186" s="64">
        <v>15</v>
      </c>
      <c r="X186" s="64">
        <v>6</v>
      </c>
      <c r="Y186" s="64">
        <v>0.4</v>
      </c>
      <c r="Z186" s="64">
        <v>0</v>
      </c>
      <c r="AA186" s="64">
        <v>6</v>
      </c>
      <c r="AB186" s="64">
        <v>0</v>
      </c>
      <c r="AC186" s="64">
        <v>0</v>
      </c>
      <c r="AD186" s="64">
        <v>6</v>
      </c>
      <c r="AE186" s="64">
        <v>0.4</v>
      </c>
      <c r="AF186" s="64">
        <v>3</v>
      </c>
      <c r="AG186" s="64">
        <v>0</v>
      </c>
      <c r="AH186" s="64">
        <v>6</v>
      </c>
      <c r="AI186" s="64">
        <v>0.6</v>
      </c>
      <c r="AJ186" s="64">
        <v>0</v>
      </c>
      <c r="AK186" s="64">
        <v>0</v>
      </c>
      <c r="AL186" s="64">
        <v>0</v>
      </c>
      <c r="AM186" s="64">
        <v>0</v>
      </c>
    </row>
    <row r="187" spans="2:39" x14ac:dyDescent="0.2">
      <c r="B187" t="str">
        <f t="shared" si="85"/>
        <v>AZ-17</v>
      </c>
      <c r="C187" t="str">
        <f t="shared" si="86"/>
        <v>Nov 2024-AZ-17</v>
      </c>
      <c r="D187">
        <f t="shared" si="87"/>
        <v>17</v>
      </c>
      <c r="E187">
        <f t="shared" si="88"/>
        <v>6.16</v>
      </c>
      <c r="F187">
        <f t="shared" si="89"/>
        <v>16</v>
      </c>
      <c r="G187">
        <f t="shared" si="90"/>
        <v>6</v>
      </c>
      <c r="H187" t="str">
        <f>IF(V187="","",IFERROR(VLOOKUP(TRIM($V187),KEY!$B$2:$E$58,3,FALSE),""))</f>
        <v>AZ</v>
      </c>
      <c r="I187" t="str">
        <f t="shared" si="91"/>
        <v>WEST-52</v>
      </c>
      <c r="J187" t="str">
        <f t="shared" si="100"/>
        <v>Jan 2024-WEST-52</v>
      </c>
      <c r="K187">
        <f t="shared" si="92"/>
        <v>52</v>
      </c>
      <c r="L187">
        <f t="shared" si="93"/>
        <v>26.52</v>
      </c>
      <c r="M187">
        <f>IF(V187="","",IFERROR(VLOOKUP(TRIM($V187),KEY!$B$2:$E$58,4,FALSE),""))</f>
        <v>52</v>
      </c>
      <c r="N187">
        <f t="shared" si="94"/>
        <v>26</v>
      </c>
      <c r="O187" t="str">
        <f t="shared" si="95"/>
        <v>HO-6</v>
      </c>
      <c r="P187">
        <f t="shared" si="96"/>
        <v>6</v>
      </c>
      <c r="Q187">
        <f t="shared" si="97"/>
        <v>5.0599999999999996</v>
      </c>
      <c r="R187">
        <f t="shared" si="98"/>
        <v>6</v>
      </c>
      <c r="S187">
        <f t="shared" si="99"/>
        <v>5</v>
      </c>
      <c r="T187" t="str">
        <f>IF(V187="","",IFERROR(VLOOKUP(TRIM($V187),KEY!$B$2:$E$58,2,FALSE),""))</f>
        <v>HO</v>
      </c>
      <c r="V187" s="64" t="s">
        <v>26</v>
      </c>
      <c r="W187" s="64">
        <v>32</v>
      </c>
      <c r="X187" s="64">
        <v>0</v>
      </c>
      <c r="Y187" s="64">
        <v>0</v>
      </c>
      <c r="Z187" s="64">
        <v>0</v>
      </c>
      <c r="AA187" s="64">
        <v>0</v>
      </c>
      <c r="AB187" s="64">
        <v>0</v>
      </c>
      <c r="AC187" s="64">
        <v>0</v>
      </c>
      <c r="AD187" s="64">
        <v>0</v>
      </c>
      <c r="AE187" s="64">
        <v>0</v>
      </c>
      <c r="AF187" s="64">
        <v>0</v>
      </c>
      <c r="AG187" s="64">
        <v>0</v>
      </c>
      <c r="AH187" s="64">
        <v>32</v>
      </c>
      <c r="AI187" s="64">
        <v>1</v>
      </c>
      <c r="AJ187" s="64">
        <v>0</v>
      </c>
      <c r="AK187" s="64">
        <v>0</v>
      </c>
      <c r="AL187" s="64">
        <v>0</v>
      </c>
      <c r="AM187" s="64">
        <v>0</v>
      </c>
    </row>
    <row r="188" spans="2:39" x14ac:dyDescent="0.2">
      <c r="B188" t="str">
        <f t="shared" si="85"/>
        <v>NorCal-8</v>
      </c>
      <c r="C188" t="str">
        <f t="shared" si="86"/>
        <v>Nov 2024-NorCal-8</v>
      </c>
      <c r="D188">
        <f t="shared" si="87"/>
        <v>8</v>
      </c>
      <c r="E188">
        <f t="shared" si="88"/>
        <v>5.08</v>
      </c>
      <c r="F188">
        <f t="shared" si="89"/>
        <v>8</v>
      </c>
      <c r="G188">
        <f t="shared" si="90"/>
        <v>5</v>
      </c>
      <c r="H188" t="str">
        <f>IF(V188="","",IFERROR(VLOOKUP(TRIM($V188),KEY!$B$2:$E$58,3,FALSE),""))</f>
        <v>NorCal</v>
      </c>
      <c r="I188" t="str">
        <f t="shared" si="91"/>
        <v>WEST-53</v>
      </c>
      <c r="J188" t="str">
        <f t="shared" si="100"/>
        <v>Jan 2024-WEST-53</v>
      </c>
      <c r="K188">
        <f t="shared" si="92"/>
        <v>53</v>
      </c>
      <c r="L188">
        <f t="shared" si="93"/>
        <v>26.53</v>
      </c>
      <c r="M188">
        <f>IF(V188="","",IFERROR(VLOOKUP(TRIM($V188),KEY!$B$2:$E$58,4,FALSE),""))</f>
        <v>53</v>
      </c>
      <c r="N188">
        <f t="shared" si="94"/>
        <v>26</v>
      </c>
      <c r="O188" t="str">
        <f t="shared" si="95"/>
        <v>TO-4</v>
      </c>
      <c r="P188">
        <f t="shared" si="96"/>
        <v>4</v>
      </c>
      <c r="Q188">
        <f t="shared" si="97"/>
        <v>2.0299999999999998</v>
      </c>
      <c r="R188">
        <f t="shared" si="98"/>
        <v>3</v>
      </c>
      <c r="S188">
        <f t="shared" si="99"/>
        <v>2</v>
      </c>
      <c r="T188" t="str">
        <f>IF(V188="","",IFERROR(VLOOKUP(TRIM($V188),KEY!$B$2:$E$58,2,FALSE),""))</f>
        <v>TO</v>
      </c>
      <c r="V188" s="64" t="s">
        <v>50</v>
      </c>
      <c r="W188" s="64">
        <v>9</v>
      </c>
      <c r="X188" s="64">
        <v>0</v>
      </c>
      <c r="Y188" s="64">
        <v>0</v>
      </c>
      <c r="Z188" s="64">
        <v>0</v>
      </c>
      <c r="AA188" s="64">
        <v>0</v>
      </c>
      <c r="AB188" s="64">
        <v>0</v>
      </c>
      <c r="AC188" s="64">
        <v>0</v>
      </c>
      <c r="AD188" s="64">
        <v>0</v>
      </c>
      <c r="AE188" s="64">
        <v>0</v>
      </c>
      <c r="AF188" s="64">
        <v>8</v>
      </c>
      <c r="AG188" s="64">
        <v>0</v>
      </c>
      <c r="AH188" s="64">
        <v>0</v>
      </c>
      <c r="AI188" s="64">
        <v>0.88888888888888884</v>
      </c>
      <c r="AJ188" s="64">
        <v>0</v>
      </c>
      <c r="AK188" s="64">
        <v>1</v>
      </c>
      <c r="AL188" s="64">
        <v>0</v>
      </c>
      <c r="AM188" s="64">
        <v>0.1111111111111111</v>
      </c>
    </row>
    <row r="189" spans="2:39" x14ac:dyDescent="0.2">
      <c r="B189" t="str">
        <f t="shared" si="85"/>
        <v>TX-4</v>
      </c>
      <c r="C189" t="str">
        <f t="shared" si="86"/>
        <v>Nov 2024-TX-4</v>
      </c>
      <c r="D189">
        <f t="shared" si="87"/>
        <v>4</v>
      </c>
      <c r="E189">
        <f t="shared" si="88"/>
        <v>4.1100000000000003</v>
      </c>
      <c r="F189">
        <f t="shared" si="89"/>
        <v>11</v>
      </c>
      <c r="G189">
        <f t="shared" si="90"/>
        <v>4</v>
      </c>
      <c r="H189" t="str">
        <f>IF(V189="","",IFERROR(VLOOKUP(TRIM($V189),KEY!$B$2:$E$58,3,FALSE),""))</f>
        <v>TX</v>
      </c>
      <c r="I189" t="str">
        <f t="shared" si="91"/>
        <v>WEST-14</v>
      </c>
      <c r="J189" t="str">
        <f t="shared" si="100"/>
        <v>Jan 2024-WEST-14</v>
      </c>
      <c r="K189">
        <f t="shared" si="92"/>
        <v>14</v>
      </c>
      <c r="L189">
        <f t="shared" si="93"/>
        <v>14.54</v>
      </c>
      <c r="M189">
        <f>IF(V189="","",IFERROR(VLOOKUP(TRIM($V189),KEY!$B$2:$E$58,4,FALSE),""))</f>
        <v>54</v>
      </c>
      <c r="N189">
        <f t="shared" si="94"/>
        <v>14</v>
      </c>
      <c r="O189" t="str">
        <f t="shared" si="95"/>
        <v>TO-1</v>
      </c>
      <c r="P189">
        <f t="shared" si="96"/>
        <v>1</v>
      </c>
      <c r="Q189">
        <f t="shared" si="97"/>
        <v>1.04</v>
      </c>
      <c r="R189">
        <f t="shared" si="98"/>
        <v>4</v>
      </c>
      <c r="S189">
        <f t="shared" si="99"/>
        <v>1</v>
      </c>
      <c r="T189" t="str">
        <f>IF(V189="","",IFERROR(VLOOKUP(TRIM($V189),KEY!$B$2:$E$58,2,FALSE),""))</f>
        <v>TO</v>
      </c>
      <c r="V189" s="64" t="s">
        <v>51</v>
      </c>
      <c r="W189" s="64">
        <v>26</v>
      </c>
      <c r="X189" s="64">
        <v>3</v>
      </c>
      <c r="Y189" s="64">
        <v>0.11538461538461539</v>
      </c>
      <c r="Z189" s="64">
        <v>0</v>
      </c>
      <c r="AA189" s="64">
        <v>3</v>
      </c>
      <c r="AB189" s="64">
        <v>0</v>
      </c>
      <c r="AC189" s="64">
        <v>2</v>
      </c>
      <c r="AD189" s="64">
        <v>5</v>
      </c>
      <c r="AE189" s="64">
        <v>0.19230769230769232</v>
      </c>
      <c r="AF189" s="64">
        <v>19</v>
      </c>
      <c r="AG189" s="64">
        <v>0</v>
      </c>
      <c r="AH189" s="64">
        <v>0</v>
      </c>
      <c r="AI189" s="64">
        <v>0.73076923076923073</v>
      </c>
      <c r="AJ189" s="64">
        <v>0</v>
      </c>
      <c r="AK189" s="64">
        <v>2</v>
      </c>
      <c r="AL189" s="64">
        <v>0</v>
      </c>
      <c r="AM189" s="64">
        <v>7.6923076923076927E-2</v>
      </c>
    </row>
    <row r="190" spans="2:39" x14ac:dyDescent="0.2">
      <c r="B190" t="str">
        <f t="shared" si="85"/>
        <v>AZ-18</v>
      </c>
      <c r="C190" t="str">
        <f t="shared" si="86"/>
        <v>Nov 2024-AZ-18</v>
      </c>
      <c r="D190">
        <f t="shared" si="87"/>
        <v>18</v>
      </c>
      <c r="E190">
        <f t="shared" si="88"/>
        <v>6.17</v>
      </c>
      <c r="F190">
        <f t="shared" si="89"/>
        <v>17</v>
      </c>
      <c r="G190">
        <f t="shared" si="90"/>
        <v>6</v>
      </c>
      <c r="H190" t="str">
        <f>IF(V190="","",IFERROR(VLOOKUP(TRIM($V190),KEY!$B$2:$E$58,3,FALSE),""))</f>
        <v>AZ</v>
      </c>
      <c r="I190" t="str">
        <f t="shared" si="91"/>
        <v>WEST-54</v>
      </c>
      <c r="J190" t="str">
        <f t="shared" si="100"/>
        <v>Jan 2024-WEST-54</v>
      </c>
      <c r="K190">
        <f t="shared" si="92"/>
        <v>54</v>
      </c>
      <c r="L190">
        <f t="shared" si="93"/>
        <v>26.55</v>
      </c>
      <c r="M190">
        <f>IF(V190="","",IFERROR(VLOOKUP(TRIM($V190),KEY!$B$2:$E$58,4,FALSE),""))</f>
        <v>55</v>
      </c>
      <c r="N190">
        <f t="shared" si="94"/>
        <v>26</v>
      </c>
      <c r="O190" t="str">
        <f t="shared" si="95"/>
        <v>TO-5</v>
      </c>
      <c r="P190">
        <f t="shared" si="96"/>
        <v>5</v>
      </c>
      <c r="Q190">
        <f t="shared" si="97"/>
        <v>2.0499999999999998</v>
      </c>
      <c r="R190">
        <f t="shared" si="98"/>
        <v>5</v>
      </c>
      <c r="S190">
        <f t="shared" si="99"/>
        <v>2</v>
      </c>
      <c r="T190" t="str">
        <f>IF(V190="","",IFERROR(VLOOKUP(TRIM($V190),KEY!$B$2:$E$58,2,FALSE),""))</f>
        <v>TO</v>
      </c>
      <c r="V190" s="64" t="s">
        <v>52</v>
      </c>
      <c r="W190" s="64">
        <v>8</v>
      </c>
      <c r="X190" s="64">
        <v>0</v>
      </c>
      <c r="Y190" s="64">
        <v>0</v>
      </c>
      <c r="Z190" s="64">
        <v>0</v>
      </c>
      <c r="AA190" s="64">
        <v>0</v>
      </c>
      <c r="AB190" s="64">
        <v>0</v>
      </c>
      <c r="AC190" s="64">
        <v>0</v>
      </c>
      <c r="AD190" s="64">
        <v>0</v>
      </c>
      <c r="AE190" s="64">
        <v>0</v>
      </c>
      <c r="AF190" s="64">
        <v>0</v>
      </c>
      <c r="AG190" s="64">
        <v>0</v>
      </c>
      <c r="AH190" s="64">
        <v>8</v>
      </c>
      <c r="AI190" s="64">
        <v>1</v>
      </c>
      <c r="AJ190" s="64">
        <v>0</v>
      </c>
      <c r="AK190" s="64">
        <v>0</v>
      </c>
      <c r="AL190" s="64">
        <v>0</v>
      </c>
      <c r="AM190" s="64">
        <v>0</v>
      </c>
    </row>
    <row r="191" spans="2:39" x14ac:dyDescent="0.2">
      <c r="B191" t="str">
        <f t="shared" si="85"/>
        <v>AZ-7</v>
      </c>
      <c r="C191" t="str">
        <f t="shared" si="86"/>
        <v>Nov 2024-AZ-7</v>
      </c>
      <c r="D191">
        <f t="shared" si="87"/>
        <v>7</v>
      </c>
      <c r="E191">
        <f t="shared" si="88"/>
        <v>5.18</v>
      </c>
      <c r="F191">
        <f t="shared" si="89"/>
        <v>18</v>
      </c>
      <c r="G191">
        <f t="shared" si="90"/>
        <v>5</v>
      </c>
      <c r="H191" t="str">
        <f>IF(V191="","",IFERROR(VLOOKUP(TRIM($V191),KEY!$B$2:$E$58,3,FALSE),""))</f>
        <v>AZ</v>
      </c>
      <c r="I191" t="str">
        <f t="shared" si="91"/>
        <v>WEST-21</v>
      </c>
      <c r="J191" t="str">
        <f t="shared" si="100"/>
        <v>Jan 2024-WEST-21</v>
      </c>
      <c r="K191">
        <f t="shared" si="92"/>
        <v>21</v>
      </c>
      <c r="L191">
        <f t="shared" si="93"/>
        <v>21.56</v>
      </c>
      <c r="M191">
        <f>IF(V191="","",IFERROR(VLOOKUP(TRIM($V191),KEY!$B$2:$E$58,4,FALSE),""))</f>
        <v>56</v>
      </c>
      <c r="N191">
        <f t="shared" si="94"/>
        <v>21</v>
      </c>
      <c r="O191" t="str">
        <f t="shared" si="95"/>
        <v>VW-1</v>
      </c>
      <c r="P191">
        <f t="shared" si="96"/>
        <v>1</v>
      </c>
      <c r="Q191">
        <f t="shared" si="97"/>
        <v>1.01</v>
      </c>
      <c r="R191">
        <f t="shared" si="98"/>
        <v>1</v>
      </c>
      <c r="S191">
        <f t="shared" si="99"/>
        <v>1</v>
      </c>
      <c r="T191" t="str">
        <f>IF(V191="","",IFERROR(VLOOKUP(TRIM($V191),KEY!$B$2:$E$58,2,FALSE),""))</f>
        <v>VW</v>
      </c>
      <c r="V191" t="s">
        <v>53</v>
      </c>
      <c r="W191">
        <v>12</v>
      </c>
      <c r="X191">
        <v>1</v>
      </c>
      <c r="Y191">
        <v>8.3333333333333329E-2</v>
      </c>
      <c r="Z191">
        <v>0</v>
      </c>
      <c r="AA191">
        <v>1</v>
      </c>
      <c r="AB191">
        <v>0</v>
      </c>
      <c r="AC191">
        <v>0</v>
      </c>
      <c r="AD191">
        <v>1</v>
      </c>
      <c r="AE191">
        <v>8.3333333333333329E-2</v>
      </c>
      <c r="AF191">
        <v>1</v>
      </c>
      <c r="AG191">
        <v>0</v>
      </c>
      <c r="AH191">
        <v>9</v>
      </c>
      <c r="AI191">
        <v>0.83333333333333337</v>
      </c>
      <c r="AJ191">
        <v>0</v>
      </c>
      <c r="AK191">
        <v>1</v>
      </c>
      <c r="AL191">
        <v>0</v>
      </c>
      <c r="AM191">
        <v>8.3333333333333329E-2</v>
      </c>
    </row>
    <row r="192" spans="2:39" x14ac:dyDescent="0.2">
      <c r="B192" t="str">
        <f t="shared" si="85"/>
        <v>OC-6</v>
      </c>
      <c r="C192" t="str">
        <f t="shared" si="86"/>
        <v>Nov 2024-OC-6</v>
      </c>
      <c r="D192">
        <f t="shared" si="87"/>
        <v>6</v>
      </c>
      <c r="E192">
        <f t="shared" si="88"/>
        <v>5.09</v>
      </c>
      <c r="F192">
        <f t="shared" si="89"/>
        <v>9</v>
      </c>
      <c r="G192">
        <f t="shared" si="90"/>
        <v>5</v>
      </c>
      <c r="H192" t="str">
        <f>IF(V192="","",IFERROR(VLOOKUP(TRIM($V192),KEY!$B$2:$E$58,3,FALSE),""))</f>
        <v>OC</v>
      </c>
      <c r="I192" t="str">
        <f t="shared" si="91"/>
        <v>WEST-24</v>
      </c>
      <c r="J192" t="str">
        <f t="shared" si="100"/>
        <v>Jan 2024-WEST-24</v>
      </c>
      <c r="K192">
        <f t="shared" si="92"/>
        <v>24</v>
      </c>
      <c r="L192">
        <f t="shared" si="93"/>
        <v>24.57</v>
      </c>
      <c r="M192">
        <f>IF(V192="","",IFERROR(VLOOKUP(TRIM($V192),KEY!$B$2:$E$58,4,FALSE),""))</f>
        <v>57</v>
      </c>
      <c r="N192">
        <f t="shared" si="94"/>
        <v>24</v>
      </c>
      <c r="O192" t="str">
        <f t="shared" si="95"/>
        <v>VW-2</v>
      </c>
      <c r="P192">
        <f t="shared" si="96"/>
        <v>2</v>
      </c>
      <c r="Q192">
        <f t="shared" si="97"/>
        <v>2.02</v>
      </c>
      <c r="R192">
        <f t="shared" si="98"/>
        <v>2</v>
      </c>
      <c r="S192">
        <f t="shared" si="99"/>
        <v>2</v>
      </c>
      <c r="T192" t="str">
        <f>IF(V192="","",IFERROR(VLOOKUP(TRIM($V192),KEY!$B$2:$E$58,2,FALSE),""))</f>
        <v>VW</v>
      </c>
      <c r="V192" t="s">
        <v>54</v>
      </c>
      <c r="W192">
        <v>31</v>
      </c>
      <c r="X192">
        <v>1</v>
      </c>
      <c r="Y192">
        <v>3.2258064516129031E-2</v>
      </c>
      <c r="Z192">
        <v>4</v>
      </c>
      <c r="AA192">
        <v>1</v>
      </c>
      <c r="AB192">
        <v>0</v>
      </c>
      <c r="AC192">
        <v>0</v>
      </c>
      <c r="AD192">
        <v>5</v>
      </c>
      <c r="AE192">
        <v>0.16129032258064516</v>
      </c>
      <c r="AF192">
        <v>20</v>
      </c>
      <c r="AG192">
        <v>0</v>
      </c>
      <c r="AH192">
        <v>1</v>
      </c>
      <c r="AI192">
        <v>0.67741935483870963</v>
      </c>
      <c r="AJ192">
        <v>4</v>
      </c>
      <c r="AK192">
        <v>1</v>
      </c>
      <c r="AL192">
        <v>0</v>
      </c>
      <c r="AM192">
        <v>0.16129032258064516</v>
      </c>
    </row>
    <row r="193" spans="1:39" x14ac:dyDescent="0.2">
      <c r="W193" s="1">
        <f t="shared" ref="W193:X193" si="101">SUM(W136:W192)</f>
        <v>1027</v>
      </c>
      <c r="X193" s="1">
        <f t="shared" si="101"/>
        <v>107</v>
      </c>
      <c r="Y193" s="3">
        <f>X193/W193</f>
        <v>0.10418695228821812</v>
      </c>
      <c r="Z193" s="1">
        <f t="shared" ref="Z193:AD193" si="102">SUM(Z136:Z192)</f>
        <v>14</v>
      </c>
      <c r="AA193" s="1">
        <f t="shared" si="102"/>
        <v>107</v>
      </c>
      <c r="AB193" s="1">
        <f t="shared" si="102"/>
        <v>4</v>
      </c>
      <c r="AC193" s="1">
        <f t="shared" si="102"/>
        <v>25</v>
      </c>
      <c r="AD193" s="1">
        <f t="shared" si="102"/>
        <v>150</v>
      </c>
      <c r="AE193" s="3">
        <f>AD193/W193</f>
        <v>0.14605647517039921</v>
      </c>
      <c r="AF193" s="1">
        <f>SUM(AF136:AF192)</f>
        <v>309</v>
      </c>
      <c r="AG193" s="1">
        <f>SUM(AG136:AG192)</f>
        <v>50</v>
      </c>
      <c r="AH193" s="1">
        <f>SUM(AH136:AH192)</f>
        <v>469</v>
      </c>
      <c r="AI193" s="3">
        <f>(AF193+AG193+AH193)/W193</f>
        <v>0.80623174294060374</v>
      </c>
      <c r="AJ193" s="1">
        <f>SUM(AJ136:AJ192)</f>
        <v>14</v>
      </c>
      <c r="AK193" s="1">
        <f>SUM(AK136:AK192)</f>
        <v>35</v>
      </c>
      <c r="AL193" s="1">
        <f>SUM(AL136:AL192)</f>
        <v>0</v>
      </c>
      <c r="AM193" s="3">
        <f>(AJ193+AK193+AL193)/W193</f>
        <v>4.7711781888997079E-2</v>
      </c>
    </row>
    <row r="194" spans="1:39" x14ac:dyDescent="0.2">
      <c r="J194" t="str">
        <f ca="1">$Y$1&amp;"-"&amp;O194</f>
        <v>Jan 2024-RGN-3</v>
      </c>
      <c r="N194" t="s">
        <v>98</v>
      </c>
      <c r="O194" t="str">
        <f ca="1">T194&amp;"-"&amp;P194</f>
        <v>RGN-3</v>
      </c>
      <c r="P194">
        <f ca="1">COUNTIFS($T$194:$T$198,T194,$Q$194:$Q$198,"&lt;"&amp;Q194)+1</f>
        <v>3</v>
      </c>
      <c r="Q194">
        <f t="shared" ref="Q194:Q198" ca="1" si="103">S194+(R194/100)</f>
        <v>3.01</v>
      </c>
      <c r="R194">
        <f>COUNTIFS($T$194:$T$198,T194,$V$194:$V$198,"&lt;"&amp;V194)+1</f>
        <v>1</v>
      </c>
      <c r="S194">
        <f ca="1">COUNTIFS($T$194:$T$198,T194,$Y$194:$Y$198,"&gt;"&amp;Y194)+1</f>
        <v>3</v>
      </c>
      <c r="T194" t="s">
        <v>158</v>
      </c>
      <c r="V194" t="s">
        <v>247</v>
      </c>
      <c r="W194" s="1">
        <f ca="1">SUMIF($H$136:W$192,$N194,W$136:W$192)</f>
        <v>183</v>
      </c>
      <c r="X194" s="1">
        <f ca="1">SUMIF($H$136:X$192,$N194,X$136:X$192)</f>
        <v>15</v>
      </c>
      <c r="Y194" s="3">
        <f t="shared" ref="Y194:Y198" ca="1" si="104">X194/W194</f>
        <v>8.1967213114754092E-2</v>
      </c>
      <c r="Z194" s="1">
        <f ca="1">SUMIF($H$136:Z$192,$N194,Z$136:Z$192)</f>
        <v>4</v>
      </c>
      <c r="AA194" s="1">
        <f ca="1">SUMIF($H$136:AA$192,$N194,AA$136:AA$192)</f>
        <v>15</v>
      </c>
      <c r="AB194" s="1">
        <f ca="1">SUMIF($H$136:AB$192,$N194,AB$136:AB$192)</f>
        <v>1</v>
      </c>
      <c r="AC194" s="1">
        <f ca="1">SUMIF($H$136:AC$192,$N194,AC$136:AC$192)</f>
        <v>8</v>
      </c>
      <c r="AD194" s="1">
        <f ca="1">SUMIF($H$136:AD$192,$N194,AD$136:AD$192)</f>
        <v>28</v>
      </c>
      <c r="AE194" s="3">
        <f t="shared" ref="AE194:AE198" ca="1" si="105">AD194/W194</f>
        <v>0.15300546448087432</v>
      </c>
      <c r="AF194" s="1">
        <f ca="1">SUMIF($H$136:AF$192,$N194,AF$136:AF$192)</f>
        <v>48</v>
      </c>
      <c r="AG194" s="1">
        <f ca="1">SUMIF($H$136:AG$192,$N194,AG$136:AG$192)</f>
        <v>0</v>
      </c>
      <c r="AH194" s="1">
        <f ca="1">SUMIF($H$136:AH$192,$N194,AH$136:AH$192)</f>
        <v>93</v>
      </c>
      <c r="AI194" s="3">
        <f t="shared" ref="AI194:AI198" ca="1" si="106">(AF194+AG194+AH194)/W194</f>
        <v>0.77049180327868849</v>
      </c>
      <c r="AJ194" s="1">
        <f ca="1">SUMIF($H$136:AJ$192,$N194,AJ$136:AJ$192)</f>
        <v>4</v>
      </c>
      <c r="AK194" s="1">
        <f ca="1">SUMIF($H$136:AK$192,$N194,AK$136:AK$192)</f>
        <v>10</v>
      </c>
      <c r="AL194" s="1">
        <f ca="1">SUMIF($H$136:AL$192,$N194,AL$136:AL$192)</f>
        <v>0</v>
      </c>
      <c r="AM194" s="3">
        <f t="shared" ref="AM194:AM198" ca="1" si="107">(AJ194+AK194+AL194)/W194</f>
        <v>7.650273224043716E-2</v>
      </c>
    </row>
    <row r="195" spans="1:39" x14ac:dyDescent="0.2">
      <c r="J195" t="str">
        <f t="shared" ref="J195:J198" ca="1" si="108">$Y$1&amp;"-"&amp;O195</f>
        <v>Jan 2024-RGN-5</v>
      </c>
      <c r="N195" t="s">
        <v>102</v>
      </c>
      <c r="O195" t="str">
        <f t="shared" ref="O195:O198" ca="1" si="109">T195&amp;"-"&amp;P195</f>
        <v>RGN-5</v>
      </c>
      <c r="P195">
        <f ca="1">COUNTIFS($T$194:$T$198,T195,$Q$194:$Q$198,"&lt;"&amp;Q195)+1</f>
        <v>5</v>
      </c>
      <c r="Q195">
        <f t="shared" ca="1" si="103"/>
        <v>5.0199999999999996</v>
      </c>
      <c r="R195">
        <f>COUNTIFS($T$194:$T$198,T195,$V$194:$V$198,"&lt;"&amp;V195)+1</f>
        <v>2</v>
      </c>
      <c r="S195">
        <f ca="1">COUNTIFS($T$194:$T$198,T195,$Y$194:$Y$198,"&gt;"&amp;Y195)+1</f>
        <v>5</v>
      </c>
      <c r="T195" t="s">
        <v>158</v>
      </c>
      <c r="V195" t="s">
        <v>268</v>
      </c>
      <c r="W195" s="1">
        <f ca="1">SUMIF($H$136:W$192,$N195,W$136:W$192)</f>
        <v>179</v>
      </c>
      <c r="X195" s="1">
        <f ca="1">SUMIF($H$136:X$192,$N195,X$136:X$192)</f>
        <v>5</v>
      </c>
      <c r="Y195" s="3">
        <f t="shared" ca="1" si="104"/>
        <v>2.7932960893854747E-2</v>
      </c>
      <c r="Z195" s="1">
        <f ca="1">SUMIF($H$136:Z$192,$N195,Z$136:Z$192)</f>
        <v>0</v>
      </c>
      <c r="AA195" s="1">
        <f ca="1">SUMIF($H$136:AA$192,$N195,AA$136:AA$192)</f>
        <v>5</v>
      </c>
      <c r="AB195" s="1">
        <f ca="1">SUMIF($H$136:AB$192,$N195,AB$136:AB$192)</f>
        <v>1</v>
      </c>
      <c r="AC195" s="1">
        <f ca="1">SUMIF($H$136:AC$192,$N195,AC$136:AC$192)</f>
        <v>2</v>
      </c>
      <c r="AD195" s="1">
        <f ca="1">SUMIF($H$136:AD$192,$N195,AD$136:AD$192)</f>
        <v>8</v>
      </c>
      <c r="AE195" s="3">
        <f t="shared" ca="1" si="105"/>
        <v>4.4692737430167599E-2</v>
      </c>
      <c r="AF195" s="1">
        <f ca="1">SUMIF($H$136:AF$192,$N195,AF$136:AF$192)</f>
        <v>61</v>
      </c>
      <c r="AG195" s="1">
        <f ca="1">SUMIF($H$136:AG$192,$N195,AG$136:AG$192)</f>
        <v>0</v>
      </c>
      <c r="AH195" s="1">
        <f ca="1">SUMIF($H$136:AH$192,$N195,AH$136:AH$192)</f>
        <v>102</v>
      </c>
      <c r="AI195" s="3">
        <f t="shared" ca="1" si="106"/>
        <v>0.91061452513966479</v>
      </c>
      <c r="AJ195" s="1">
        <f ca="1">SUMIF($H$136:AJ$192,$N195,AJ$136:AJ$192)</f>
        <v>4</v>
      </c>
      <c r="AK195" s="1">
        <f ca="1">SUMIF($H$136:AK$192,$N195,AK$136:AK$192)</f>
        <v>4</v>
      </c>
      <c r="AL195" s="1">
        <f ca="1">SUMIF($H$136:AL$192,$N195,AL$136:AL$192)</f>
        <v>0</v>
      </c>
      <c r="AM195" s="3">
        <f t="shared" ca="1" si="107"/>
        <v>4.4692737430167599E-2</v>
      </c>
    </row>
    <row r="196" spans="1:39" x14ac:dyDescent="0.2">
      <c r="J196" t="str">
        <f t="shared" ca="1" si="108"/>
        <v>Jan 2024-RGN-1</v>
      </c>
      <c r="N196" t="s">
        <v>100</v>
      </c>
      <c r="O196" t="str">
        <f t="shared" ca="1" si="109"/>
        <v>RGN-1</v>
      </c>
      <c r="P196">
        <f ca="1">COUNTIFS($T$194:$T$198,T196,$Q$194:$Q$198,"&lt;"&amp;Q196)+1</f>
        <v>1</v>
      </c>
      <c r="Q196">
        <f t="shared" ca="1" si="103"/>
        <v>1.03</v>
      </c>
      <c r="R196">
        <f>COUNTIFS($T$194:$T$198,T196,$V$194:$V$198,"&lt;"&amp;V196)+1</f>
        <v>3</v>
      </c>
      <c r="S196">
        <f ca="1">COUNTIFS($T$194:$T$198,T196,$Y$194:$Y$198,"&gt;"&amp;Y196)+1</f>
        <v>1</v>
      </c>
      <c r="T196" t="s">
        <v>158</v>
      </c>
      <c r="V196" t="s">
        <v>251</v>
      </c>
      <c r="W196" s="1">
        <f ca="1">SUMIF($H$136:W$192,$N196,W$136:W$192)</f>
        <v>266</v>
      </c>
      <c r="X196" s="1">
        <f ca="1">SUMIF($H$136:X$192,$N196,X$136:X$192)</f>
        <v>50</v>
      </c>
      <c r="Y196" s="3">
        <f t="shared" ca="1" si="104"/>
        <v>0.18796992481203006</v>
      </c>
      <c r="Z196" s="1">
        <f ca="1">SUMIF($H$136:Z$192,$N196,Z$136:Z$192)</f>
        <v>7</v>
      </c>
      <c r="AA196" s="1">
        <f ca="1">SUMIF($H$136:AA$192,$N196,AA$136:AA$192)</f>
        <v>50</v>
      </c>
      <c r="AB196" s="1">
        <f ca="1">SUMIF($H$136:AB$192,$N196,AB$136:AB$192)</f>
        <v>0</v>
      </c>
      <c r="AC196" s="1">
        <f ca="1">SUMIF($H$136:AC$192,$N196,AC$136:AC$192)</f>
        <v>5</v>
      </c>
      <c r="AD196" s="1">
        <f ca="1">SUMIF($H$136:AD$192,$N196,AD$136:AD$192)</f>
        <v>62</v>
      </c>
      <c r="AE196" s="3">
        <f t="shared" ca="1" si="105"/>
        <v>0.23308270676691728</v>
      </c>
      <c r="AF196" s="1">
        <f ca="1">SUMIF($H$136:AF$192,$N196,AF$136:AF$192)</f>
        <v>103</v>
      </c>
      <c r="AG196" s="1">
        <f ca="1">SUMIF($H$136:AG$192,$N196,AG$136:AG$192)</f>
        <v>42</v>
      </c>
      <c r="AH196" s="1">
        <f ca="1">SUMIF($H$136:AH$192,$N196,AH$136:AH$192)</f>
        <v>53</v>
      </c>
      <c r="AI196" s="3">
        <f t="shared" ca="1" si="106"/>
        <v>0.74436090225563911</v>
      </c>
      <c r="AJ196" s="1">
        <f ca="1">SUMIF($H$136:AJ$192,$N196,AJ$136:AJ$192)</f>
        <v>4</v>
      </c>
      <c r="AK196" s="1">
        <f ca="1">SUMIF($H$136:AK$192,$N196,AK$136:AK$192)</f>
        <v>2</v>
      </c>
      <c r="AL196" s="1">
        <f ca="1">SUMIF($H$136:AL$192,$N196,AL$136:AL$192)</f>
        <v>0</v>
      </c>
      <c r="AM196" s="3">
        <f t="shared" ca="1" si="107"/>
        <v>2.2556390977443608E-2</v>
      </c>
    </row>
    <row r="197" spans="1:39" x14ac:dyDescent="0.2">
      <c r="J197" t="str">
        <f t="shared" ca="1" si="108"/>
        <v>Jan 2024-RGN-4</v>
      </c>
      <c r="N197" t="s">
        <v>99</v>
      </c>
      <c r="O197" t="str">
        <f t="shared" ca="1" si="109"/>
        <v>RGN-4</v>
      </c>
      <c r="P197">
        <f ca="1">COUNTIFS($T$194:$T$198,T197,$Q$194:$Q$198,"&lt;"&amp;Q197)+1</f>
        <v>4</v>
      </c>
      <c r="Q197">
        <f t="shared" ca="1" si="103"/>
        <v>4.04</v>
      </c>
      <c r="R197">
        <f>COUNTIFS($T$194:$T$198,T197,$V$194:$V$198,"&lt;"&amp;V197)+1</f>
        <v>4</v>
      </c>
      <c r="S197">
        <f ca="1">COUNTIFS($T$194:$T$198,T197,$Y$194:$Y$198,"&gt;"&amp;Y197)+1</f>
        <v>4</v>
      </c>
      <c r="T197" t="s">
        <v>158</v>
      </c>
      <c r="V197" t="s">
        <v>269</v>
      </c>
      <c r="W197" s="1">
        <f ca="1">SUMIF($H$136:W$192,$N197,W$136:W$192)</f>
        <v>259</v>
      </c>
      <c r="X197" s="1">
        <f ca="1">SUMIF($H$136:X$192,$N197,X$136:X$192)</f>
        <v>20</v>
      </c>
      <c r="Y197" s="3">
        <f t="shared" ca="1" si="104"/>
        <v>7.7220077220077218E-2</v>
      </c>
      <c r="Z197" s="1">
        <f ca="1">SUMIF($H$136:Z$192,$N197,Z$136:Z$192)</f>
        <v>1</v>
      </c>
      <c r="AA197" s="1">
        <f ca="1">SUMIF($H$136:AA$192,$N197,AA$136:AA$192)</f>
        <v>20</v>
      </c>
      <c r="AB197" s="1">
        <f ca="1">SUMIF($H$136:AB$192,$N197,AB$136:AB$192)</f>
        <v>2</v>
      </c>
      <c r="AC197" s="1">
        <f ca="1">SUMIF($H$136:AC$192,$N197,AC$136:AC$192)</f>
        <v>7</v>
      </c>
      <c r="AD197" s="1">
        <f ca="1">SUMIF($H$136:AD$192,$N197,AD$136:AD$192)</f>
        <v>30</v>
      </c>
      <c r="AE197" s="3">
        <f t="shared" ca="1" si="105"/>
        <v>0.11583011583011583</v>
      </c>
      <c r="AF197" s="1">
        <f ca="1">SUMIF($H$136:AF$192,$N197,AF$136:AF$192)</f>
        <v>31</v>
      </c>
      <c r="AG197" s="1">
        <f ca="1">SUMIF($H$136:AG$192,$N197,AG$136:AG$192)</f>
        <v>0</v>
      </c>
      <c r="AH197" s="1">
        <f ca="1">SUMIF($H$136:AH$192,$N197,AH$136:AH$192)</f>
        <v>192</v>
      </c>
      <c r="AI197" s="3">
        <f t="shared" ca="1" si="106"/>
        <v>0.86100386100386095</v>
      </c>
      <c r="AJ197" s="1">
        <f ca="1">SUMIF($H$136:AJ$192,$N197,AJ$136:AJ$192)</f>
        <v>1</v>
      </c>
      <c r="AK197" s="1">
        <f ca="1">SUMIF($H$136:AK$192,$N197,AK$136:AK$192)</f>
        <v>5</v>
      </c>
      <c r="AL197" s="1">
        <f ca="1">SUMIF($H$136:AL$192,$N197,AL$136:AL$192)</f>
        <v>0</v>
      </c>
      <c r="AM197" s="3">
        <f t="shared" ca="1" si="107"/>
        <v>2.3166023166023165E-2</v>
      </c>
    </row>
    <row r="198" spans="1:39" x14ac:dyDescent="0.2">
      <c r="J198" t="str">
        <f t="shared" ca="1" si="108"/>
        <v>Jan 2024-RGN-2</v>
      </c>
      <c r="N198" t="s">
        <v>101</v>
      </c>
      <c r="O198" t="str">
        <f t="shared" ca="1" si="109"/>
        <v>RGN-2</v>
      </c>
      <c r="P198">
        <f ca="1">COUNTIFS($T$194:$T$198,T198,$Q$194:$Q$198,"&lt;"&amp;Q198)+1</f>
        <v>2</v>
      </c>
      <c r="Q198">
        <f t="shared" ca="1" si="103"/>
        <v>2.0499999999999998</v>
      </c>
      <c r="R198">
        <f>COUNTIFS($T$194:$T$198,T198,$V$194:$V$198,"&lt;"&amp;V198)+1</f>
        <v>5</v>
      </c>
      <c r="S198">
        <f ca="1">COUNTIFS($T$194:$T$198,T198,$Y$194:$Y$198,"&gt;"&amp;Y198)+1</f>
        <v>2</v>
      </c>
      <c r="T198" t="s">
        <v>158</v>
      </c>
      <c r="V198" t="s">
        <v>252</v>
      </c>
      <c r="W198" s="1">
        <f ca="1">SUMIF($H$136:W$192,$N198,W$136:W$192)</f>
        <v>140</v>
      </c>
      <c r="X198" s="1">
        <f ca="1">SUMIF($H$136:X$192,$N198,X$136:X$192)</f>
        <v>17</v>
      </c>
      <c r="Y198" s="3">
        <f t="shared" ca="1" si="104"/>
        <v>0.12142857142857143</v>
      </c>
      <c r="Z198" s="1">
        <f ca="1">SUMIF($H$136:Z$192,$N198,Z$136:Z$192)</f>
        <v>2</v>
      </c>
      <c r="AA198" s="1">
        <f ca="1">SUMIF($H$136:AA$192,$N198,AA$136:AA$192)</f>
        <v>17</v>
      </c>
      <c r="AB198" s="1">
        <f ca="1">SUMIF($H$136:AB$192,$N198,AB$136:AB$192)</f>
        <v>0</v>
      </c>
      <c r="AC198" s="1">
        <f ca="1">SUMIF($H$136:AC$192,$N198,AC$136:AC$192)</f>
        <v>3</v>
      </c>
      <c r="AD198" s="1">
        <f ca="1">SUMIF($H$136:AD$192,$N198,AD$136:AD$192)</f>
        <v>22</v>
      </c>
      <c r="AE198" s="3">
        <f t="shared" ca="1" si="105"/>
        <v>0.15714285714285714</v>
      </c>
      <c r="AF198" s="1">
        <f ca="1">SUMIF($H$136:AF$192,$N198,AF$136:AF$192)</f>
        <v>66</v>
      </c>
      <c r="AG198" s="1">
        <f ca="1">SUMIF($H$136:AG$192,$N198,AG$136:AG$192)</f>
        <v>8</v>
      </c>
      <c r="AH198" s="1">
        <f ca="1">SUMIF($H$136:AH$192,$N198,AH$136:AH$192)</f>
        <v>29</v>
      </c>
      <c r="AI198" s="3">
        <f t="shared" ca="1" si="106"/>
        <v>0.73571428571428577</v>
      </c>
      <c r="AJ198" s="1">
        <f ca="1">SUMIF($H$136:AJ$192,$N198,AJ$136:AJ$192)</f>
        <v>1</v>
      </c>
      <c r="AK198" s="1">
        <f ca="1">SUMIF($H$136:AK$192,$N198,AK$136:AK$192)</f>
        <v>14</v>
      </c>
      <c r="AL198" s="1">
        <f ca="1">SUMIF($H$136:AL$192,$N198,AL$136:AL$192)</f>
        <v>0</v>
      </c>
      <c r="AM198" s="3">
        <f t="shared" ca="1" si="107"/>
        <v>0.10714285714285714</v>
      </c>
    </row>
    <row r="200" spans="1:39" ht="16" customHeight="1" x14ac:dyDescent="0.2">
      <c r="A200" s="2"/>
      <c r="B200" s="2"/>
      <c r="C200" s="86" t="str">
        <f>Z1</f>
        <v>Feb 2025</v>
      </c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</row>
    <row r="201" spans="1:39" x14ac:dyDescent="0.2">
      <c r="A201" s="2"/>
      <c r="B201" s="2" t="s">
        <v>105</v>
      </c>
      <c r="C201" s="2"/>
      <c r="D201" s="2"/>
      <c r="E201" s="2"/>
      <c r="F201" s="2"/>
      <c r="G201" s="2"/>
      <c r="H201" s="2"/>
      <c r="I201" s="2" t="s">
        <v>103</v>
      </c>
      <c r="J201" s="2"/>
      <c r="K201" s="2"/>
      <c r="L201" s="2"/>
      <c r="M201" s="2"/>
      <c r="N201" s="2"/>
      <c r="O201" s="2" t="s">
        <v>104</v>
      </c>
      <c r="P201" s="2"/>
      <c r="Q201" s="2"/>
      <c r="R201" s="2"/>
      <c r="S201" s="2"/>
      <c r="T201" s="2"/>
      <c r="U201" s="2"/>
      <c r="V201" s="2" t="s">
        <v>0</v>
      </c>
      <c r="W201" s="2" t="s">
        <v>2</v>
      </c>
      <c r="X201" s="2" t="s">
        <v>75</v>
      </c>
      <c r="Y201" s="2" t="s">
        <v>218</v>
      </c>
      <c r="Z201" s="2" t="s">
        <v>74</v>
      </c>
      <c r="AA201" s="2" t="s">
        <v>75</v>
      </c>
      <c r="AB201" s="2" t="s">
        <v>76</v>
      </c>
      <c r="AC201" s="2" t="s">
        <v>77</v>
      </c>
      <c r="AD201" s="2" t="s">
        <v>3</v>
      </c>
      <c r="AE201" s="2" t="s">
        <v>1</v>
      </c>
      <c r="AF201" s="2" t="s">
        <v>4</v>
      </c>
      <c r="AG201" s="2" t="s">
        <v>5</v>
      </c>
      <c r="AH201" s="2" t="s">
        <v>6</v>
      </c>
      <c r="AI201" s="2" t="s">
        <v>7</v>
      </c>
      <c r="AJ201" s="2" t="s">
        <v>78</v>
      </c>
      <c r="AK201" s="2" t="s">
        <v>79</v>
      </c>
      <c r="AL201" s="2" t="s">
        <v>80</v>
      </c>
      <c r="AM201" s="2" t="s">
        <v>8</v>
      </c>
    </row>
    <row r="202" spans="1:39" x14ac:dyDescent="0.2">
      <c r="B202" t="str">
        <f>IF(V202="","",H202&amp;"-"&amp;D202)</f>
        <v>AZ-5</v>
      </c>
      <c r="C202" t="str">
        <f>IF(V202="","",$W$1&amp;"-"&amp;B202)</f>
        <v>Nov 2024-AZ-5</v>
      </c>
      <c r="D202">
        <f>IF(V202="","",COUNTIFS($H$202:$H$258,H202,$E$202:$E$258,"&lt;"&amp;E202)+1)</f>
        <v>5</v>
      </c>
      <c r="E202">
        <f>IF(V202="","",G202+(F202/100))</f>
        <v>4.01</v>
      </c>
      <c r="F202">
        <f>IF(V202="","",COUNTIFS($H$202:$H$258,H202,$V$202:$V$258,"&lt;"&amp;V202)+1)</f>
        <v>1</v>
      </c>
      <c r="G202">
        <f>IF(V202="","",COUNTIFS($H$202:$H$258,H202,$Y$202:$Y$258,"&gt;"&amp;Y202)+1)</f>
        <v>4</v>
      </c>
      <c r="H202" t="str">
        <f>IF(V202="","",IFERROR(VLOOKUP(TRIM($V202),KEY!$B$2:$E$58,3,FALSE),""))</f>
        <v>AZ</v>
      </c>
      <c r="I202" t="str">
        <f>IF(V202="","","WEST-"&amp;K202)</f>
        <v>WEST-16</v>
      </c>
      <c r="J202" t="str">
        <f t="shared" ref="J202:J233" si="110">IF(V202="","",$Z$1&amp;"-"&amp;I202)</f>
        <v>Feb 2025-WEST-16</v>
      </c>
      <c r="K202">
        <f>IFERROR(IF(V202="","",RANK(L202,$L$202:$L$258,1)),"-")</f>
        <v>16</v>
      </c>
      <c r="L202">
        <f>IFERROR(IF(V202="","",N202+(M202/100)),"-")</f>
        <v>16.010000000000002</v>
      </c>
      <c r="M202">
        <f>IF(V202="","",IFERROR(VLOOKUP(TRIM($V202),KEY!$B$2:$E$58,4,FALSE),""))</f>
        <v>1</v>
      </c>
      <c r="N202">
        <f>IFERROR(IF(V202="","",RANK(Y202,$Y$202:$Y$258)),"-")</f>
        <v>16</v>
      </c>
      <c r="O202" t="str">
        <f>IF(V202="","",T202&amp;"-"&amp;P202)</f>
        <v>AC-2</v>
      </c>
      <c r="P202">
        <f>IF(V202="","",COUNTIFS($T$202:$T$258,T202,$Q$202:$Q$258,"&lt;"&amp;Q202)+1)</f>
        <v>2</v>
      </c>
      <c r="Q202">
        <f>IF(V202="","",S202+(R202/100))</f>
        <v>2.0099999999999998</v>
      </c>
      <c r="R202">
        <f>IF(V202="","",COUNTIFS($T$202:$T$258,T202,$V$202:$V$258,"&lt;"&amp;V202)+1)</f>
        <v>1</v>
      </c>
      <c r="S202">
        <f>IF(V202="","",COUNTIFS($T$202:$T$258,T202,$Y$202:$Y$258,"&gt;"&amp;Y202)+1)</f>
        <v>2</v>
      </c>
      <c r="T202" t="str">
        <f>IF(V202="","",IFERROR(VLOOKUP(TRIM($V202),KEY!$B$2:$E$58,2,FALSE),""))</f>
        <v>AC</v>
      </c>
      <c r="V202" s="64" t="s">
        <v>9</v>
      </c>
      <c r="W202" s="64">
        <v>13</v>
      </c>
      <c r="X202" s="64">
        <v>1</v>
      </c>
      <c r="Y202" s="64">
        <v>7.6923076923076927E-2</v>
      </c>
      <c r="Z202" s="64">
        <v>0</v>
      </c>
      <c r="AA202" s="64">
        <v>1</v>
      </c>
      <c r="AB202" s="64">
        <v>0</v>
      </c>
      <c r="AC202" s="64">
        <v>0</v>
      </c>
      <c r="AD202" s="64">
        <v>1</v>
      </c>
      <c r="AE202" s="64">
        <v>7.6923076923076927E-2</v>
      </c>
      <c r="AF202" s="64">
        <v>9</v>
      </c>
      <c r="AG202" s="64">
        <v>0</v>
      </c>
      <c r="AH202" s="64">
        <v>0</v>
      </c>
      <c r="AI202" s="64">
        <v>0.69230769230769229</v>
      </c>
      <c r="AJ202" s="64">
        <v>0</v>
      </c>
      <c r="AK202" s="64">
        <v>3</v>
      </c>
      <c r="AL202" s="64">
        <v>0</v>
      </c>
      <c r="AM202" s="64">
        <v>0.23076923076923078</v>
      </c>
    </row>
    <row r="203" spans="1:39" x14ac:dyDescent="0.2">
      <c r="B203" t="str">
        <f t="shared" ref="B203:B258" si="111">IF(V203="","",H203&amp;"-"&amp;D203)</f>
        <v>SoCal-5</v>
      </c>
      <c r="C203" t="str">
        <f t="shared" ref="C203:C258" si="112">IF(V203="","",$W$1&amp;"-"&amp;B203)</f>
        <v>Nov 2024-SoCal-5</v>
      </c>
      <c r="D203">
        <f t="shared" ref="D203:D258" si="113">IF(V203="","",COUNTIFS($H$202:$H$258,H203,$E$202:$E$258,"&lt;"&amp;E203)+1)</f>
        <v>5</v>
      </c>
      <c r="E203">
        <f t="shared" ref="E203:E258" si="114">IF(V203="","",G203+(F203/100))</f>
        <v>5.01</v>
      </c>
      <c r="F203">
        <f t="shared" ref="F203:F258" si="115">IF(V203="","",COUNTIFS($H$202:$H$258,H203,$V$202:$V$258,"&lt;"&amp;V203)+1)</f>
        <v>1</v>
      </c>
      <c r="G203">
        <f t="shared" ref="G203:G258" si="116">IF(V203="","",COUNTIFS($H$202:$H$258,H203,$Y$202:$Y$258,"&gt;"&amp;Y203)+1)</f>
        <v>5</v>
      </c>
      <c r="H203" t="str">
        <f>IF(V203="","",IFERROR(VLOOKUP(TRIM($V203),KEY!$B$2:$E$58,3,FALSE),""))</f>
        <v>SoCal</v>
      </c>
      <c r="I203" t="str">
        <f t="shared" ref="I203:I258" si="117">IF(V203="","","WEST-"&amp;K203)</f>
        <v>WEST-17</v>
      </c>
      <c r="J203" t="str">
        <f t="shared" si="110"/>
        <v>Feb 2025-WEST-17</v>
      </c>
      <c r="K203">
        <f t="shared" ref="K203:K258" si="118">IFERROR(IF(V203="","",RANK(L203,$L$202:$L$258,1)),"-")</f>
        <v>17</v>
      </c>
      <c r="L203">
        <f t="shared" ref="L203:L258" si="119">IFERROR(IF(V203="","",N203+(M203/100)),"-")</f>
        <v>17.02</v>
      </c>
      <c r="M203">
        <f>IF(V203="","",IFERROR(VLOOKUP(TRIM($V203),KEY!$B$2:$E$58,4,FALSE),""))</f>
        <v>2</v>
      </c>
      <c r="N203">
        <f t="shared" ref="N203:N258" si="120">IFERROR(IF(V203="","",RANK(Y203,$Y$202:$Y$258)),"-")</f>
        <v>17</v>
      </c>
      <c r="O203" t="str">
        <f t="shared" ref="O203:O258" si="121">IF(V203="","",T203&amp;"-"&amp;P203)</f>
        <v>AC-3</v>
      </c>
      <c r="P203">
        <f t="shared" ref="P203:P258" si="122">IF(V203="","",COUNTIFS($T$202:$T$258,T203,$Q$202:$Q$258,"&lt;"&amp;Q203)+1)</f>
        <v>3</v>
      </c>
      <c r="Q203">
        <f t="shared" ref="Q203:Q258" si="123">IF(V203="","",S203+(R203/100))</f>
        <v>3.02</v>
      </c>
      <c r="R203">
        <f t="shared" ref="R203:R258" si="124">IF(V203="","",COUNTIFS($T$202:$T$258,T203,$V$202:$V$258,"&lt;"&amp;V203)+1)</f>
        <v>2</v>
      </c>
      <c r="S203">
        <f t="shared" ref="S203:S258" si="125">IF(V203="","",COUNTIFS($T$202:$T$258,T203,$Y$202:$Y$258,"&gt;"&amp;Y203)+1)</f>
        <v>3</v>
      </c>
      <c r="T203" t="str">
        <f>IF(V203="","",IFERROR(VLOOKUP(TRIM($V203),KEY!$B$2:$E$58,2,FALSE),""))</f>
        <v>AC</v>
      </c>
      <c r="V203" s="64" t="s">
        <v>10</v>
      </c>
      <c r="W203" s="64">
        <v>2</v>
      </c>
      <c r="X203" s="64">
        <v>0</v>
      </c>
      <c r="Y203" s="64">
        <v>0</v>
      </c>
      <c r="Z203" s="64">
        <v>0</v>
      </c>
      <c r="AA203" s="64">
        <v>0</v>
      </c>
      <c r="AB203" s="64">
        <v>0</v>
      </c>
      <c r="AC203" s="64">
        <v>0</v>
      </c>
      <c r="AD203" s="64">
        <v>0</v>
      </c>
      <c r="AE203" s="64">
        <v>0</v>
      </c>
      <c r="AF203" s="64">
        <v>0</v>
      </c>
      <c r="AG203" s="64">
        <v>0</v>
      </c>
      <c r="AH203" s="64">
        <v>2</v>
      </c>
      <c r="AI203" s="64">
        <v>1</v>
      </c>
      <c r="AJ203" s="64">
        <v>0</v>
      </c>
      <c r="AK203" s="64">
        <v>0</v>
      </c>
      <c r="AL203" s="64">
        <v>0</v>
      </c>
      <c r="AM203" s="64">
        <v>0</v>
      </c>
    </row>
    <row r="204" spans="1:39" x14ac:dyDescent="0.2">
      <c r="B204" t="str">
        <f t="shared" si="111"/>
        <v>AZ-6</v>
      </c>
      <c r="C204" t="str">
        <f t="shared" si="112"/>
        <v>Nov 2024-AZ-6</v>
      </c>
      <c r="D204">
        <f t="shared" si="113"/>
        <v>6</v>
      </c>
      <c r="E204">
        <f t="shared" si="114"/>
        <v>5.0199999999999996</v>
      </c>
      <c r="F204">
        <f t="shared" si="115"/>
        <v>2</v>
      </c>
      <c r="G204">
        <f t="shared" si="116"/>
        <v>5</v>
      </c>
      <c r="H204" t="str">
        <f>IF(V204="","",IFERROR(VLOOKUP(TRIM($V204),KEY!$B$2:$E$58,3,FALSE),""))</f>
        <v>AZ</v>
      </c>
      <c r="I204" t="str">
        <f t="shared" si="117"/>
        <v>WEST-18</v>
      </c>
      <c r="J204" t="str">
        <f t="shared" si="110"/>
        <v>Feb 2025-WEST-18</v>
      </c>
      <c r="K204">
        <f t="shared" si="118"/>
        <v>18</v>
      </c>
      <c r="L204">
        <f t="shared" si="119"/>
        <v>17.03</v>
      </c>
      <c r="M204">
        <f>IF(V204="","",IFERROR(VLOOKUP(TRIM($V204),KEY!$B$2:$E$58,4,FALSE),""))</f>
        <v>3</v>
      </c>
      <c r="N204">
        <f t="shared" si="120"/>
        <v>17</v>
      </c>
      <c r="O204" t="str">
        <f t="shared" si="121"/>
        <v>AU-2</v>
      </c>
      <c r="P204">
        <f t="shared" si="122"/>
        <v>2</v>
      </c>
      <c r="Q204">
        <f t="shared" si="123"/>
        <v>2.0099999999999998</v>
      </c>
      <c r="R204">
        <f t="shared" si="124"/>
        <v>1</v>
      </c>
      <c r="S204">
        <f t="shared" si="125"/>
        <v>2</v>
      </c>
      <c r="T204" t="str">
        <f>IF(V204="","",IFERROR(VLOOKUP(TRIM($V204),KEY!$B$2:$E$58,2,FALSE),""))</f>
        <v>AU</v>
      </c>
      <c r="V204" s="64" t="s">
        <v>11</v>
      </c>
      <c r="W204" s="64">
        <v>7</v>
      </c>
      <c r="X204" s="64">
        <v>0</v>
      </c>
      <c r="Y204" s="64">
        <v>0</v>
      </c>
      <c r="Z204" s="64">
        <v>0</v>
      </c>
      <c r="AA204" s="64">
        <v>0</v>
      </c>
      <c r="AB204" s="64">
        <v>0</v>
      </c>
      <c r="AC204" s="64">
        <v>0</v>
      </c>
      <c r="AD204" s="64">
        <v>0</v>
      </c>
      <c r="AE204" s="64">
        <v>0</v>
      </c>
      <c r="AF204" s="64">
        <v>0</v>
      </c>
      <c r="AG204" s="64">
        <v>0</v>
      </c>
      <c r="AH204" s="64">
        <v>7</v>
      </c>
      <c r="AI204" s="64">
        <v>1</v>
      </c>
      <c r="AJ204" s="64">
        <v>0</v>
      </c>
      <c r="AK204" s="64">
        <v>0</v>
      </c>
      <c r="AL204" s="64">
        <v>0</v>
      </c>
      <c r="AM204" s="64">
        <v>0</v>
      </c>
    </row>
    <row r="205" spans="1:39" x14ac:dyDescent="0.2">
      <c r="B205" t="str">
        <f t="shared" si="111"/>
        <v>SoCal-6</v>
      </c>
      <c r="C205" t="str">
        <f t="shared" si="112"/>
        <v>Nov 2024-SoCal-6</v>
      </c>
      <c r="D205">
        <f t="shared" si="113"/>
        <v>6</v>
      </c>
      <c r="E205">
        <f t="shared" si="114"/>
        <v>5.0199999999999996</v>
      </c>
      <c r="F205">
        <f t="shared" si="115"/>
        <v>2</v>
      </c>
      <c r="G205">
        <f t="shared" si="116"/>
        <v>5</v>
      </c>
      <c r="H205" t="str">
        <f>IF(V205="","",IFERROR(VLOOKUP(TRIM($V205),KEY!$B$2:$E$58,3,FALSE),""))</f>
        <v>SoCal</v>
      </c>
      <c r="I205" t="str">
        <f t="shared" si="117"/>
        <v>WEST-19</v>
      </c>
      <c r="J205" t="str">
        <f t="shared" si="110"/>
        <v>Feb 2025-WEST-19</v>
      </c>
      <c r="K205">
        <f t="shared" si="118"/>
        <v>19</v>
      </c>
      <c r="L205">
        <f t="shared" si="119"/>
        <v>17.04</v>
      </c>
      <c r="M205">
        <f>IF(V205="","",IFERROR(VLOOKUP(TRIM($V205),KEY!$B$2:$E$58,4,FALSE),""))</f>
        <v>4</v>
      </c>
      <c r="N205">
        <f t="shared" si="120"/>
        <v>17</v>
      </c>
      <c r="O205" t="str">
        <f t="shared" si="121"/>
        <v>AU-3</v>
      </c>
      <c r="P205">
        <f t="shared" si="122"/>
        <v>3</v>
      </c>
      <c r="Q205">
        <f t="shared" si="123"/>
        <v>2.02</v>
      </c>
      <c r="R205">
        <f t="shared" si="124"/>
        <v>2</v>
      </c>
      <c r="S205">
        <f t="shared" si="125"/>
        <v>2</v>
      </c>
      <c r="T205" t="str">
        <f>IF(V205="","",IFERROR(VLOOKUP(TRIM($V205),KEY!$B$2:$E$58,2,FALSE),""))</f>
        <v>AU</v>
      </c>
      <c r="V205" s="64" t="s">
        <v>12</v>
      </c>
      <c r="W205" s="64">
        <v>18</v>
      </c>
      <c r="X205" s="64">
        <v>0</v>
      </c>
      <c r="Y205" s="64">
        <v>0</v>
      </c>
      <c r="Z205" s="64">
        <v>0</v>
      </c>
      <c r="AA205" s="64">
        <v>0</v>
      </c>
      <c r="AB205" s="64">
        <v>0</v>
      </c>
      <c r="AC205" s="64">
        <v>0</v>
      </c>
      <c r="AD205" s="64">
        <v>0</v>
      </c>
      <c r="AE205" s="64">
        <v>0</v>
      </c>
      <c r="AF205" s="64">
        <v>0</v>
      </c>
      <c r="AG205" s="64">
        <v>0</v>
      </c>
      <c r="AH205" s="64">
        <v>18</v>
      </c>
      <c r="AI205" s="64">
        <v>1</v>
      </c>
      <c r="AJ205" s="64">
        <v>0</v>
      </c>
      <c r="AK205" s="64">
        <v>0</v>
      </c>
      <c r="AL205" s="64">
        <v>0</v>
      </c>
      <c r="AM205" s="64">
        <v>0</v>
      </c>
    </row>
    <row r="206" spans="1:39" x14ac:dyDescent="0.2">
      <c r="B206" t="str">
        <f t="shared" si="111"/>
        <v>OC-6</v>
      </c>
      <c r="C206" t="str">
        <f t="shared" si="112"/>
        <v>Nov 2024-OC-6</v>
      </c>
      <c r="D206">
        <f t="shared" si="113"/>
        <v>6</v>
      </c>
      <c r="E206">
        <f t="shared" si="114"/>
        <v>5.01</v>
      </c>
      <c r="F206">
        <f t="shared" si="115"/>
        <v>1</v>
      </c>
      <c r="G206">
        <f t="shared" si="116"/>
        <v>5</v>
      </c>
      <c r="H206" t="str">
        <f>IF(V206="","",IFERROR(VLOOKUP(TRIM($V206),KEY!$B$2:$E$58,3,FALSE),""))</f>
        <v>OC</v>
      </c>
      <c r="I206" t="str">
        <f t="shared" si="117"/>
        <v>WEST-20</v>
      </c>
      <c r="J206" t="str">
        <f t="shared" si="110"/>
        <v>Feb 2025-WEST-20</v>
      </c>
      <c r="K206">
        <f t="shared" si="118"/>
        <v>20</v>
      </c>
      <c r="L206">
        <f t="shared" si="119"/>
        <v>17.05</v>
      </c>
      <c r="M206">
        <f>IF(V206="","",IFERROR(VLOOKUP(TRIM($V206),KEY!$B$2:$E$58,4,FALSE),""))</f>
        <v>5</v>
      </c>
      <c r="N206">
        <f t="shared" si="120"/>
        <v>17</v>
      </c>
      <c r="O206" t="str">
        <f t="shared" si="121"/>
        <v>AU-4</v>
      </c>
      <c r="P206">
        <f t="shared" si="122"/>
        <v>4</v>
      </c>
      <c r="Q206">
        <f t="shared" si="123"/>
        <v>2.0299999999999998</v>
      </c>
      <c r="R206">
        <f t="shared" si="124"/>
        <v>3</v>
      </c>
      <c r="S206">
        <f t="shared" si="125"/>
        <v>2</v>
      </c>
      <c r="T206" t="str">
        <f>IF(V206="","",IFERROR(VLOOKUP(TRIM($V206),KEY!$B$2:$E$58,2,FALSE),""))</f>
        <v>AU</v>
      </c>
      <c r="V206" s="64" t="s">
        <v>240</v>
      </c>
      <c r="W206" s="64">
        <v>4</v>
      </c>
      <c r="X206" s="64">
        <v>0</v>
      </c>
      <c r="Y206" s="64">
        <v>0</v>
      </c>
      <c r="Z206" s="64">
        <v>0</v>
      </c>
      <c r="AA206" s="64">
        <v>0</v>
      </c>
      <c r="AB206" s="64">
        <v>0</v>
      </c>
      <c r="AC206" s="64">
        <v>1</v>
      </c>
      <c r="AD206" s="64">
        <v>1</v>
      </c>
      <c r="AE206" s="64">
        <v>0.25</v>
      </c>
      <c r="AF206" s="64">
        <v>2</v>
      </c>
      <c r="AG206" s="64">
        <v>0</v>
      </c>
      <c r="AH206" s="64">
        <v>0</v>
      </c>
      <c r="AI206" s="64">
        <v>0.5</v>
      </c>
      <c r="AJ206" s="64">
        <v>0</v>
      </c>
      <c r="AK206" s="64">
        <v>0</v>
      </c>
      <c r="AL206" s="64">
        <v>1</v>
      </c>
      <c r="AM206" s="64">
        <v>0</v>
      </c>
    </row>
    <row r="207" spans="1:39" x14ac:dyDescent="0.2">
      <c r="B207" t="str">
        <f t="shared" si="111"/>
        <v>AZ-7</v>
      </c>
      <c r="C207" t="str">
        <f t="shared" si="112"/>
        <v>Nov 2024-AZ-7</v>
      </c>
      <c r="D207">
        <f t="shared" si="113"/>
        <v>7</v>
      </c>
      <c r="E207">
        <f t="shared" si="114"/>
        <v>5.03</v>
      </c>
      <c r="F207">
        <f t="shared" si="115"/>
        <v>3</v>
      </c>
      <c r="G207">
        <f t="shared" si="116"/>
        <v>5</v>
      </c>
      <c r="H207" t="str">
        <f>IF(V207="","",IFERROR(VLOOKUP(TRIM($V207),KEY!$B$2:$E$58,3,FALSE),""))</f>
        <v>AZ</v>
      </c>
      <c r="I207" t="str">
        <f t="shared" si="117"/>
        <v>WEST-21</v>
      </c>
      <c r="J207" t="str">
        <f t="shared" si="110"/>
        <v>Feb 2025-WEST-21</v>
      </c>
      <c r="K207">
        <f t="shared" si="118"/>
        <v>21</v>
      </c>
      <c r="L207">
        <f t="shared" si="119"/>
        <v>17.059999999999999</v>
      </c>
      <c r="M207">
        <f>IF(V207="","",IFERROR(VLOOKUP(TRIM($V207),KEY!$B$2:$E$58,4,FALSE),""))</f>
        <v>6</v>
      </c>
      <c r="N207">
        <f t="shared" si="120"/>
        <v>17</v>
      </c>
      <c r="O207" t="str">
        <f t="shared" si="121"/>
        <v>AU-5</v>
      </c>
      <c r="P207">
        <f t="shared" si="122"/>
        <v>5</v>
      </c>
      <c r="Q207">
        <f t="shared" si="123"/>
        <v>2.04</v>
      </c>
      <c r="R207">
        <f t="shared" si="124"/>
        <v>4</v>
      </c>
      <c r="S207">
        <f t="shared" si="125"/>
        <v>2</v>
      </c>
      <c r="T207" t="str">
        <f>IF(V207="","",IFERROR(VLOOKUP(TRIM($V207),KEY!$B$2:$E$58,2,FALSE),""))</f>
        <v>AU</v>
      </c>
      <c r="V207" s="64" t="s">
        <v>13</v>
      </c>
      <c r="W207" s="64">
        <v>19</v>
      </c>
      <c r="X207" s="64">
        <v>0</v>
      </c>
      <c r="Y207" s="64">
        <v>0</v>
      </c>
      <c r="Z207" s="64">
        <v>0</v>
      </c>
      <c r="AA207" s="64">
        <v>0</v>
      </c>
      <c r="AB207" s="64">
        <v>0</v>
      </c>
      <c r="AC207" s="64">
        <v>0</v>
      </c>
      <c r="AD207" s="64">
        <v>0</v>
      </c>
      <c r="AE207" s="64">
        <v>0</v>
      </c>
      <c r="AF207" s="64">
        <v>0</v>
      </c>
      <c r="AG207" s="64">
        <v>0</v>
      </c>
      <c r="AH207" s="64">
        <v>19</v>
      </c>
      <c r="AI207" s="64">
        <v>1</v>
      </c>
      <c r="AJ207" s="64">
        <v>0</v>
      </c>
      <c r="AK207" s="64">
        <v>0</v>
      </c>
      <c r="AL207" s="64">
        <v>0</v>
      </c>
      <c r="AM207" s="64">
        <v>0</v>
      </c>
    </row>
    <row r="208" spans="1:39" x14ac:dyDescent="0.2">
      <c r="B208" t="str">
        <f t="shared" si="111"/>
        <v>NorCal-2</v>
      </c>
      <c r="C208" t="str">
        <f t="shared" si="112"/>
        <v>Nov 2024-NorCal-2</v>
      </c>
      <c r="D208">
        <f t="shared" si="113"/>
        <v>2</v>
      </c>
      <c r="E208">
        <f t="shared" si="114"/>
        <v>2.0099999999999998</v>
      </c>
      <c r="F208">
        <f t="shared" si="115"/>
        <v>1</v>
      </c>
      <c r="G208">
        <f t="shared" si="116"/>
        <v>2</v>
      </c>
      <c r="H208" t="str">
        <f>IF(V208="","",IFERROR(VLOOKUP(TRIM($V208),KEY!$B$2:$E$58,3,FALSE),""))</f>
        <v>NorCal</v>
      </c>
      <c r="I208" t="str">
        <f t="shared" si="117"/>
        <v>WEST-22</v>
      </c>
      <c r="J208" t="str">
        <f t="shared" si="110"/>
        <v>Feb 2025-WEST-22</v>
      </c>
      <c r="K208">
        <f t="shared" si="118"/>
        <v>22</v>
      </c>
      <c r="L208">
        <f t="shared" si="119"/>
        <v>17.079999999999998</v>
      </c>
      <c r="M208">
        <f>IF(V208="","",IFERROR(VLOOKUP(TRIM($V208),KEY!$B$2:$E$58,4,FALSE),""))</f>
        <v>8</v>
      </c>
      <c r="N208">
        <f t="shared" si="120"/>
        <v>17</v>
      </c>
      <c r="O208" t="str">
        <f t="shared" si="121"/>
        <v>AU-6</v>
      </c>
      <c r="P208">
        <f t="shared" si="122"/>
        <v>6</v>
      </c>
      <c r="Q208">
        <f t="shared" si="123"/>
        <v>2.0499999999999998</v>
      </c>
      <c r="R208">
        <f t="shared" si="124"/>
        <v>5</v>
      </c>
      <c r="S208">
        <f t="shared" si="125"/>
        <v>2</v>
      </c>
      <c r="T208" t="str">
        <f>IF(V208="","",IFERROR(VLOOKUP(TRIM($V208),KEY!$B$2:$E$58,2,FALSE),""))</f>
        <v>AU</v>
      </c>
      <c r="V208" s="64" t="s">
        <v>275</v>
      </c>
      <c r="W208" s="64">
        <v>57</v>
      </c>
      <c r="X208" s="64">
        <v>0</v>
      </c>
      <c r="Y208" s="64">
        <v>0</v>
      </c>
      <c r="Z208" s="64">
        <v>0</v>
      </c>
      <c r="AA208" s="64">
        <v>0</v>
      </c>
      <c r="AB208" s="64">
        <v>0</v>
      </c>
      <c r="AC208" s="64">
        <v>0</v>
      </c>
      <c r="AD208" s="64">
        <v>0</v>
      </c>
      <c r="AE208" s="64">
        <v>0</v>
      </c>
      <c r="AF208" s="64">
        <v>57</v>
      </c>
      <c r="AG208" s="64">
        <v>0</v>
      </c>
      <c r="AH208" s="64">
        <v>0</v>
      </c>
      <c r="AI208" s="64">
        <v>1</v>
      </c>
      <c r="AJ208" s="64">
        <v>0</v>
      </c>
      <c r="AK208" s="64">
        <v>0</v>
      </c>
      <c r="AL208" s="64">
        <v>0</v>
      </c>
      <c r="AM208" s="64">
        <v>0</v>
      </c>
    </row>
    <row r="209" spans="2:39" x14ac:dyDescent="0.2">
      <c r="B209" t="str">
        <f t="shared" si="111"/>
        <v>OC-5</v>
      </c>
      <c r="C209" t="str">
        <f t="shared" si="112"/>
        <v>Nov 2024-OC-5</v>
      </c>
      <c r="D209">
        <f t="shared" si="113"/>
        <v>5</v>
      </c>
      <c r="E209">
        <f t="shared" si="114"/>
        <v>4.0199999999999996</v>
      </c>
      <c r="F209">
        <f t="shared" si="115"/>
        <v>2</v>
      </c>
      <c r="G209">
        <f t="shared" si="116"/>
        <v>4</v>
      </c>
      <c r="H209" t="str">
        <f>IF(V209="","",IFERROR(VLOOKUP(TRIM($V209),KEY!$B$2:$E$58,3,FALSE),""))</f>
        <v>OC</v>
      </c>
      <c r="I209" t="str">
        <f t="shared" si="117"/>
        <v>WEST-15</v>
      </c>
      <c r="J209" t="str">
        <f t="shared" si="110"/>
        <v>Feb 2025-WEST-15</v>
      </c>
      <c r="K209">
        <f t="shared" si="118"/>
        <v>15</v>
      </c>
      <c r="L209">
        <f t="shared" si="119"/>
        <v>15.07</v>
      </c>
      <c r="M209">
        <f>IF(V209="","",IFERROR(VLOOKUP(TRIM($V209),KEY!$B$2:$E$58,4,FALSE),""))</f>
        <v>7</v>
      </c>
      <c r="N209">
        <f t="shared" si="120"/>
        <v>15</v>
      </c>
      <c r="O209" t="str">
        <f t="shared" si="121"/>
        <v>AU-1</v>
      </c>
      <c r="P209">
        <f t="shared" si="122"/>
        <v>1</v>
      </c>
      <c r="Q209">
        <f t="shared" si="123"/>
        <v>1.06</v>
      </c>
      <c r="R209">
        <f t="shared" si="124"/>
        <v>6</v>
      </c>
      <c r="S209">
        <f t="shared" si="125"/>
        <v>1</v>
      </c>
      <c r="T209" t="str">
        <f>IF(V209="","",IFERROR(VLOOKUP(TRIM($V209),KEY!$B$2:$E$58,2,FALSE),""))</f>
        <v>AU</v>
      </c>
      <c r="V209" s="64" t="s">
        <v>14</v>
      </c>
      <c r="W209" s="64">
        <v>34</v>
      </c>
      <c r="X209" s="64">
        <v>3</v>
      </c>
      <c r="Y209" s="64">
        <v>8.8235294117647065E-2</v>
      </c>
      <c r="Z209" s="64">
        <v>0</v>
      </c>
      <c r="AA209" s="64">
        <v>3</v>
      </c>
      <c r="AB209" s="64">
        <v>0</v>
      </c>
      <c r="AC209" s="64">
        <v>0</v>
      </c>
      <c r="AD209" s="64">
        <v>3</v>
      </c>
      <c r="AE209" s="64">
        <v>8.8235294117647065E-2</v>
      </c>
      <c r="AF209" s="64">
        <v>31</v>
      </c>
      <c r="AG209" s="64">
        <v>0</v>
      </c>
      <c r="AH209" s="64">
        <v>0</v>
      </c>
      <c r="AI209" s="64">
        <v>0.91176470588235292</v>
      </c>
      <c r="AJ209" s="64">
        <v>0</v>
      </c>
      <c r="AK209" s="64">
        <v>0</v>
      </c>
      <c r="AL209" s="64">
        <v>0</v>
      </c>
      <c r="AM209" s="64">
        <v>0</v>
      </c>
    </row>
    <row r="210" spans="2:39" x14ac:dyDescent="0.2">
      <c r="B210" t="str">
        <f t="shared" si="111"/>
        <v>AZ-8</v>
      </c>
      <c r="C210" t="str">
        <f t="shared" si="112"/>
        <v>Nov 2024-AZ-8</v>
      </c>
      <c r="D210">
        <f t="shared" si="113"/>
        <v>8</v>
      </c>
      <c r="E210">
        <f t="shared" si="114"/>
        <v>5.04</v>
      </c>
      <c r="F210">
        <f t="shared" si="115"/>
        <v>4</v>
      </c>
      <c r="G210">
        <f t="shared" si="116"/>
        <v>5</v>
      </c>
      <c r="H210" t="str">
        <f>IF(V210="","",IFERROR(VLOOKUP(TRIM($V210),KEY!$B$2:$E$58,3,FALSE),""))</f>
        <v>AZ</v>
      </c>
      <c r="I210" t="str">
        <f t="shared" si="117"/>
        <v>WEST-23</v>
      </c>
      <c r="J210" t="str">
        <f t="shared" si="110"/>
        <v>Feb 2025-WEST-23</v>
      </c>
      <c r="K210">
        <f t="shared" si="118"/>
        <v>23</v>
      </c>
      <c r="L210">
        <f t="shared" si="119"/>
        <v>17.09</v>
      </c>
      <c r="M210">
        <f>IF(V210="","",IFERROR(VLOOKUP(TRIM($V210),KEY!$B$2:$E$58,4,FALSE),""))</f>
        <v>9</v>
      </c>
      <c r="N210">
        <f t="shared" si="120"/>
        <v>17</v>
      </c>
      <c r="O210" t="str">
        <f t="shared" si="121"/>
        <v>BE-1</v>
      </c>
      <c r="P210">
        <f t="shared" si="122"/>
        <v>1</v>
      </c>
      <c r="Q210">
        <f t="shared" si="123"/>
        <v>1.01</v>
      </c>
      <c r="R210">
        <f t="shared" si="124"/>
        <v>1</v>
      </c>
      <c r="S210">
        <f t="shared" si="125"/>
        <v>1</v>
      </c>
      <c r="T210" t="str">
        <f>IF(V210="","",IFERROR(VLOOKUP(TRIM($V210),KEY!$B$2:$E$58,2,FALSE),""))</f>
        <v>BE</v>
      </c>
      <c r="V210" s="64" t="s">
        <v>15</v>
      </c>
      <c r="W210" s="64">
        <v>1</v>
      </c>
      <c r="X210" s="64">
        <v>0</v>
      </c>
      <c r="Y210" s="64">
        <v>0</v>
      </c>
      <c r="Z210" s="64">
        <v>0</v>
      </c>
      <c r="AA210" s="64">
        <v>0</v>
      </c>
      <c r="AB210" s="64">
        <v>0</v>
      </c>
      <c r="AC210" s="64">
        <v>0</v>
      </c>
      <c r="AD210" s="64">
        <v>0</v>
      </c>
      <c r="AE210" s="64">
        <v>0</v>
      </c>
      <c r="AF210" s="64">
        <v>0</v>
      </c>
      <c r="AG210" s="64">
        <v>0</v>
      </c>
      <c r="AH210" s="64">
        <v>1</v>
      </c>
      <c r="AI210" s="64">
        <v>1</v>
      </c>
      <c r="AJ210" s="64">
        <v>0</v>
      </c>
      <c r="AK210" s="64">
        <v>0</v>
      </c>
      <c r="AL210" s="64">
        <v>0</v>
      </c>
      <c r="AM210" s="64">
        <v>0</v>
      </c>
    </row>
    <row r="211" spans="2:39" x14ac:dyDescent="0.2">
      <c r="B211" t="str">
        <f t="shared" si="111"/>
        <v>AZ-4</v>
      </c>
      <c r="C211" t="str">
        <f t="shared" si="112"/>
        <v>Nov 2024-AZ-4</v>
      </c>
      <c r="D211">
        <f t="shared" si="113"/>
        <v>4</v>
      </c>
      <c r="E211">
        <f t="shared" si="114"/>
        <v>3.05</v>
      </c>
      <c r="F211">
        <f t="shared" si="115"/>
        <v>5</v>
      </c>
      <c r="G211">
        <f t="shared" si="116"/>
        <v>3</v>
      </c>
      <c r="H211" t="str">
        <f>IF(V211="","",IFERROR(VLOOKUP(TRIM($V211),KEY!$B$2:$E$58,3,FALSE),""))</f>
        <v>AZ</v>
      </c>
      <c r="I211" t="str">
        <f t="shared" si="117"/>
        <v>WEST-13</v>
      </c>
      <c r="J211" t="str">
        <f t="shared" si="110"/>
        <v>Feb 2025-WEST-13</v>
      </c>
      <c r="K211">
        <f t="shared" si="118"/>
        <v>13</v>
      </c>
      <c r="L211">
        <f t="shared" si="119"/>
        <v>13.1</v>
      </c>
      <c r="M211">
        <f>IF(V211="","",IFERROR(VLOOKUP(TRIM($V211),KEY!$B$2:$E$58,4,FALSE),""))</f>
        <v>10</v>
      </c>
      <c r="N211">
        <f t="shared" si="120"/>
        <v>13</v>
      </c>
      <c r="O211" t="str">
        <f t="shared" si="121"/>
        <v>BM-3</v>
      </c>
      <c r="P211">
        <f t="shared" si="122"/>
        <v>3</v>
      </c>
      <c r="Q211">
        <f t="shared" si="123"/>
        <v>3.01</v>
      </c>
      <c r="R211">
        <f t="shared" si="124"/>
        <v>1</v>
      </c>
      <c r="S211">
        <f t="shared" si="125"/>
        <v>3</v>
      </c>
      <c r="T211" t="str">
        <f>IF(V211="","",IFERROR(VLOOKUP(TRIM($V211),KEY!$B$2:$E$58,2,FALSE),""))</f>
        <v>BM</v>
      </c>
      <c r="V211" s="64" t="s">
        <v>16</v>
      </c>
      <c r="W211" s="64">
        <v>65</v>
      </c>
      <c r="X211" s="64">
        <v>6</v>
      </c>
      <c r="Y211" s="64">
        <v>9.2307692307692313E-2</v>
      </c>
      <c r="Z211" s="64">
        <v>0</v>
      </c>
      <c r="AA211" s="64">
        <v>6</v>
      </c>
      <c r="AB211" s="64">
        <v>0</v>
      </c>
      <c r="AC211" s="64">
        <v>0</v>
      </c>
      <c r="AD211" s="64">
        <v>6</v>
      </c>
      <c r="AE211" s="64">
        <v>9.2307692307692313E-2</v>
      </c>
      <c r="AF211" s="64">
        <v>55</v>
      </c>
      <c r="AG211" s="64">
        <v>0</v>
      </c>
      <c r="AH211" s="64">
        <v>0</v>
      </c>
      <c r="AI211" s="64">
        <v>0.84615384615384615</v>
      </c>
      <c r="AJ211" s="64">
        <v>0</v>
      </c>
      <c r="AK211" s="64">
        <v>4</v>
      </c>
      <c r="AL211" s="64">
        <v>0</v>
      </c>
      <c r="AM211" s="64">
        <v>6.1538461538461542E-2</v>
      </c>
    </row>
    <row r="212" spans="2:39" x14ac:dyDescent="0.2">
      <c r="B212" t="str">
        <f t="shared" si="111"/>
        <v>TX-3</v>
      </c>
      <c r="C212" t="str">
        <f t="shared" si="112"/>
        <v>Nov 2024-TX-3</v>
      </c>
      <c r="D212">
        <f t="shared" si="113"/>
        <v>3</v>
      </c>
      <c r="E212">
        <f t="shared" si="114"/>
        <v>3.01</v>
      </c>
      <c r="F212">
        <f t="shared" si="115"/>
        <v>1</v>
      </c>
      <c r="G212">
        <f t="shared" si="116"/>
        <v>3</v>
      </c>
      <c r="H212" t="str">
        <f>IF(V212="","",IFERROR(VLOOKUP(TRIM($V212),KEY!$B$2:$E$58,3,FALSE),""))</f>
        <v>TX</v>
      </c>
      <c r="I212" t="str">
        <f t="shared" si="117"/>
        <v>WEST-6</v>
      </c>
      <c r="J212" t="str">
        <f t="shared" si="110"/>
        <v>Feb 2025-WEST-6</v>
      </c>
      <c r="K212">
        <f t="shared" si="118"/>
        <v>6</v>
      </c>
      <c r="L212">
        <f t="shared" si="119"/>
        <v>6.11</v>
      </c>
      <c r="M212">
        <f>IF(V212="","",IFERROR(VLOOKUP(TRIM($V212),KEY!$B$2:$E$58,4,FALSE),""))</f>
        <v>11</v>
      </c>
      <c r="N212">
        <f t="shared" si="120"/>
        <v>6</v>
      </c>
      <c r="O212" t="str">
        <f t="shared" si="121"/>
        <v>BM-1</v>
      </c>
      <c r="P212">
        <f t="shared" si="122"/>
        <v>1</v>
      </c>
      <c r="Q212">
        <f t="shared" si="123"/>
        <v>1.02</v>
      </c>
      <c r="R212">
        <f t="shared" si="124"/>
        <v>2</v>
      </c>
      <c r="S212">
        <f t="shared" si="125"/>
        <v>1</v>
      </c>
      <c r="T212" t="str">
        <f>IF(V212="","",IFERROR(VLOOKUP(TRIM($V212),KEY!$B$2:$E$58,2,FALSE),""))</f>
        <v>BM</v>
      </c>
      <c r="V212" s="64" t="s">
        <v>17</v>
      </c>
      <c r="W212" s="64">
        <v>18</v>
      </c>
      <c r="X212" s="64">
        <v>3</v>
      </c>
      <c r="Y212" s="64">
        <v>0.16666666666666666</v>
      </c>
      <c r="Z212" s="64">
        <v>0</v>
      </c>
      <c r="AA212" s="64">
        <v>3</v>
      </c>
      <c r="AB212" s="64">
        <v>0</v>
      </c>
      <c r="AC212" s="64">
        <v>0</v>
      </c>
      <c r="AD212" s="64">
        <v>3</v>
      </c>
      <c r="AE212" s="64">
        <v>0.16666666666666666</v>
      </c>
      <c r="AF212" s="64">
        <v>15</v>
      </c>
      <c r="AG212" s="64">
        <v>0</v>
      </c>
      <c r="AH212" s="64">
        <v>0</v>
      </c>
      <c r="AI212" s="64">
        <v>0.83333333333333337</v>
      </c>
      <c r="AJ212" s="64">
        <v>0</v>
      </c>
      <c r="AK212" s="64">
        <v>0</v>
      </c>
      <c r="AL212" s="64">
        <v>0</v>
      </c>
      <c r="AM212" s="64">
        <v>0</v>
      </c>
    </row>
    <row r="213" spans="2:39" x14ac:dyDescent="0.2">
      <c r="B213" t="str">
        <f t="shared" si="111"/>
        <v>SoCal-7</v>
      </c>
      <c r="C213" t="str">
        <f t="shared" si="112"/>
        <v>Nov 2024-SoCal-7</v>
      </c>
      <c r="D213">
        <f t="shared" si="113"/>
        <v>7</v>
      </c>
      <c r="E213">
        <f t="shared" si="114"/>
        <v>5.04</v>
      </c>
      <c r="F213">
        <f t="shared" si="115"/>
        <v>4</v>
      </c>
      <c r="G213">
        <f t="shared" si="116"/>
        <v>5</v>
      </c>
      <c r="H213" t="str">
        <f>IF(V213="","",IFERROR(VLOOKUP(TRIM($V213),KEY!$B$2:$E$58,3,FALSE),""))</f>
        <v>SoCal</v>
      </c>
      <c r="I213" t="str">
        <f t="shared" si="117"/>
        <v>WEST-24</v>
      </c>
      <c r="J213" t="str">
        <f t="shared" si="110"/>
        <v>Feb 2025-WEST-24</v>
      </c>
      <c r="K213">
        <f t="shared" si="118"/>
        <v>24</v>
      </c>
      <c r="L213">
        <f t="shared" si="119"/>
        <v>17.12</v>
      </c>
      <c r="M213">
        <f>IF(V213="","",IFERROR(VLOOKUP(TRIM($V213),KEY!$B$2:$E$58,4,FALSE),""))</f>
        <v>12</v>
      </c>
      <c r="N213">
        <f t="shared" si="120"/>
        <v>17</v>
      </c>
      <c r="O213" t="str">
        <f t="shared" si="121"/>
        <v>BM-6</v>
      </c>
      <c r="P213">
        <f t="shared" si="122"/>
        <v>6</v>
      </c>
      <c r="Q213">
        <f t="shared" si="123"/>
        <v>5.05</v>
      </c>
      <c r="R213">
        <f t="shared" si="124"/>
        <v>5</v>
      </c>
      <c r="S213">
        <f t="shared" si="125"/>
        <v>5</v>
      </c>
      <c r="T213" t="str">
        <f>IF(V213="","",IFERROR(VLOOKUP(TRIM($V213),KEY!$B$2:$E$58,2,FALSE),""))</f>
        <v>BM</v>
      </c>
      <c r="V213" s="64" t="s">
        <v>267</v>
      </c>
      <c r="W213" s="64">
        <v>10</v>
      </c>
      <c r="X213" s="64">
        <v>0</v>
      </c>
      <c r="Y213" s="64">
        <v>0</v>
      </c>
      <c r="Z213" s="64">
        <v>0</v>
      </c>
      <c r="AA213" s="64">
        <v>0</v>
      </c>
      <c r="AB213" s="64">
        <v>0</v>
      </c>
      <c r="AC213" s="64">
        <v>0</v>
      </c>
      <c r="AD213" s="64">
        <v>0</v>
      </c>
      <c r="AE213" s="64">
        <v>0</v>
      </c>
      <c r="AF213" s="64">
        <v>0</v>
      </c>
      <c r="AG213" s="64">
        <v>0</v>
      </c>
      <c r="AH213" s="64">
        <v>10</v>
      </c>
      <c r="AI213" s="64">
        <v>1</v>
      </c>
      <c r="AJ213" s="64">
        <v>0</v>
      </c>
      <c r="AK213" s="64">
        <v>0</v>
      </c>
      <c r="AL213" s="64">
        <v>0</v>
      </c>
      <c r="AM213" s="64">
        <v>0</v>
      </c>
    </row>
    <row r="214" spans="2:39" x14ac:dyDescent="0.2">
      <c r="B214" t="str">
        <f t="shared" si="111"/>
        <v>OC-7</v>
      </c>
      <c r="C214" t="str">
        <f t="shared" si="112"/>
        <v>Nov 2024-OC-7</v>
      </c>
      <c r="D214">
        <f t="shared" si="113"/>
        <v>7</v>
      </c>
      <c r="E214">
        <f t="shared" si="114"/>
        <v>5.03</v>
      </c>
      <c r="F214">
        <f t="shared" si="115"/>
        <v>3</v>
      </c>
      <c r="G214">
        <f t="shared" si="116"/>
        <v>5</v>
      </c>
      <c r="H214" t="str">
        <f>IF(V214="","",IFERROR(VLOOKUP(TRIM($V214),KEY!$B$2:$E$58,3,FALSE),""))</f>
        <v>OC</v>
      </c>
      <c r="I214" t="str">
        <f t="shared" si="117"/>
        <v>WEST-25</v>
      </c>
      <c r="J214" t="str">
        <f t="shared" si="110"/>
        <v>Feb 2025-WEST-25</v>
      </c>
      <c r="K214">
        <f t="shared" si="118"/>
        <v>25</v>
      </c>
      <c r="L214">
        <f t="shared" si="119"/>
        <v>17.13</v>
      </c>
      <c r="M214">
        <f>IF(V214="","",IFERROR(VLOOKUP(TRIM($V214),KEY!$B$2:$E$58,4,FALSE),""))</f>
        <v>13</v>
      </c>
      <c r="N214">
        <f t="shared" si="120"/>
        <v>17</v>
      </c>
      <c r="O214" t="str">
        <f t="shared" si="121"/>
        <v>BM-5</v>
      </c>
      <c r="P214">
        <f t="shared" si="122"/>
        <v>5</v>
      </c>
      <c r="Q214">
        <f t="shared" si="123"/>
        <v>5.03</v>
      </c>
      <c r="R214">
        <f t="shared" si="124"/>
        <v>3</v>
      </c>
      <c r="S214">
        <f t="shared" si="125"/>
        <v>5</v>
      </c>
      <c r="T214" t="str">
        <f>IF(V214="","",IFERROR(VLOOKUP(TRIM($V214),KEY!$B$2:$E$58,2,FALSE),""))</f>
        <v>BM</v>
      </c>
      <c r="V214" s="64" t="s">
        <v>18</v>
      </c>
      <c r="W214" s="64">
        <v>31</v>
      </c>
      <c r="X214" s="64">
        <v>0</v>
      </c>
      <c r="Y214" s="64">
        <v>0</v>
      </c>
      <c r="Z214" s="64">
        <v>0</v>
      </c>
      <c r="AA214" s="64">
        <v>0</v>
      </c>
      <c r="AB214" s="64">
        <v>0</v>
      </c>
      <c r="AC214" s="64">
        <v>0</v>
      </c>
      <c r="AD214" s="64">
        <v>0</v>
      </c>
      <c r="AE214" s="64">
        <v>0</v>
      </c>
      <c r="AF214" s="64">
        <v>0</v>
      </c>
      <c r="AG214" s="64">
        <v>0</v>
      </c>
      <c r="AH214" s="64">
        <v>31</v>
      </c>
      <c r="AI214" s="64">
        <v>1</v>
      </c>
      <c r="AJ214" s="64">
        <v>0</v>
      </c>
      <c r="AK214" s="64">
        <v>0</v>
      </c>
      <c r="AL214" s="64">
        <v>0</v>
      </c>
      <c r="AM214" s="64">
        <v>0</v>
      </c>
    </row>
    <row r="215" spans="2:39" x14ac:dyDescent="0.2">
      <c r="B215" t="str">
        <f t="shared" si="111"/>
        <v>SoCal-4</v>
      </c>
      <c r="C215" t="str">
        <f t="shared" si="112"/>
        <v>Nov 2024-SoCal-4</v>
      </c>
      <c r="D215">
        <f t="shared" si="113"/>
        <v>4</v>
      </c>
      <c r="E215">
        <f t="shared" si="114"/>
        <v>4.03</v>
      </c>
      <c r="F215">
        <f t="shared" si="115"/>
        <v>3</v>
      </c>
      <c r="G215">
        <f t="shared" si="116"/>
        <v>4</v>
      </c>
      <c r="H215" t="str">
        <f>IF(V215="","",IFERROR(VLOOKUP(TRIM($V215),KEY!$B$2:$E$58,3,FALSE),""))</f>
        <v>SoCal</v>
      </c>
      <c r="I215" t="str">
        <f t="shared" si="117"/>
        <v>WEST-14</v>
      </c>
      <c r="J215" t="str">
        <f t="shared" si="110"/>
        <v>Feb 2025-WEST-14</v>
      </c>
      <c r="K215">
        <f t="shared" si="118"/>
        <v>14</v>
      </c>
      <c r="L215">
        <f t="shared" si="119"/>
        <v>14.14</v>
      </c>
      <c r="M215">
        <f>IF(V215="","",IFERROR(VLOOKUP(TRIM($V215),KEY!$B$2:$E$58,4,FALSE),""))</f>
        <v>14</v>
      </c>
      <c r="N215">
        <f t="shared" si="120"/>
        <v>14</v>
      </c>
      <c r="O215" t="str">
        <f t="shared" si="121"/>
        <v>BM-4</v>
      </c>
      <c r="P215">
        <f t="shared" si="122"/>
        <v>4</v>
      </c>
      <c r="Q215">
        <f t="shared" si="123"/>
        <v>4.04</v>
      </c>
      <c r="R215">
        <f t="shared" si="124"/>
        <v>4</v>
      </c>
      <c r="S215">
        <f t="shared" si="125"/>
        <v>4</v>
      </c>
      <c r="T215" t="str">
        <f>IF(V215="","",IFERROR(VLOOKUP(TRIM($V215),KEY!$B$2:$E$58,2,FALSE),""))</f>
        <v>BM</v>
      </c>
      <c r="V215" s="64" t="s">
        <v>19</v>
      </c>
      <c r="W215" s="64">
        <v>66</v>
      </c>
      <c r="X215" s="64">
        <v>6</v>
      </c>
      <c r="Y215" s="64">
        <v>9.0909090909090912E-2</v>
      </c>
      <c r="Z215" s="64">
        <v>0</v>
      </c>
      <c r="AA215" s="64">
        <v>6</v>
      </c>
      <c r="AB215" s="64">
        <v>0</v>
      </c>
      <c r="AC215" s="64">
        <v>0</v>
      </c>
      <c r="AD215" s="64">
        <v>6</v>
      </c>
      <c r="AE215" s="64">
        <v>9.0909090909090912E-2</v>
      </c>
      <c r="AF215" s="64">
        <v>2</v>
      </c>
      <c r="AG215" s="64">
        <v>0</v>
      </c>
      <c r="AH215" s="64">
        <v>58</v>
      </c>
      <c r="AI215" s="64">
        <v>0.90909090909090906</v>
      </c>
      <c r="AJ215" s="64">
        <v>0</v>
      </c>
      <c r="AK215" s="64">
        <v>0</v>
      </c>
      <c r="AL215" s="64">
        <v>0</v>
      </c>
      <c r="AM215" s="64">
        <v>0</v>
      </c>
    </row>
    <row r="216" spans="2:39" x14ac:dyDescent="0.2">
      <c r="B216" t="str">
        <f t="shared" si="111"/>
        <v>NorCal-3</v>
      </c>
      <c r="C216" t="str">
        <f t="shared" si="112"/>
        <v>Nov 2024-NorCal-3</v>
      </c>
      <c r="D216">
        <f t="shared" si="113"/>
        <v>3</v>
      </c>
      <c r="E216">
        <f t="shared" si="114"/>
        <v>2.02</v>
      </c>
      <c r="F216">
        <f t="shared" si="115"/>
        <v>2</v>
      </c>
      <c r="G216">
        <f t="shared" si="116"/>
        <v>2</v>
      </c>
      <c r="H216" t="str">
        <f>IF(V216="","",IFERROR(VLOOKUP(TRIM($V216),KEY!$B$2:$E$58,3,FALSE),""))</f>
        <v>NorCal</v>
      </c>
      <c r="I216" t="str">
        <f t="shared" si="117"/>
        <v>WEST-26</v>
      </c>
      <c r="J216" t="str">
        <f t="shared" si="110"/>
        <v>Feb 2025-WEST-26</v>
      </c>
      <c r="K216">
        <f t="shared" si="118"/>
        <v>26</v>
      </c>
      <c r="L216">
        <f t="shared" si="119"/>
        <v>17.149999999999999</v>
      </c>
      <c r="M216">
        <f>IF(V216="","",IFERROR(VLOOKUP(TRIM($V216),KEY!$B$2:$E$58,4,FALSE),""))</f>
        <v>15</v>
      </c>
      <c r="N216">
        <f t="shared" si="120"/>
        <v>17</v>
      </c>
      <c r="O216" t="str">
        <f t="shared" si="121"/>
        <v>AC-4</v>
      </c>
      <c r="P216">
        <f t="shared" si="122"/>
        <v>4</v>
      </c>
      <c r="Q216">
        <f t="shared" si="123"/>
        <v>3.03</v>
      </c>
      <c r="R216">
        <f t="shared" si="124"/>
        <v>3</v>
      </c>
      <c r="S216">
        <f t="shared" si="125"/>
        <v>3</v>
      </c>
      <c r="T216" t="str">
        <f>IF(V216="","",IFERROR(VLOOKUP(TRIM($V216),KEY!$B$2:$E$58,2,FALSE),""))</f>
        <v>AC</v>
      </c>
      <c r="V216" s="64" t="s">
        <v>262</v>
      </c>
      <c r="W216" s="64">
        <v>4</v>
      </c>
      <c r="X216" s="64">
        <v>0</v>
      </c>
      <c r="Y216" s="64">
        <v>0</v>
      </c>
      <c r="Z216" s="64">
        <v>0</v>
      </c>
      <c r="AA216" s="64">
        <v>0</v>
      </c>
      <c r="AB216" s="64">
        <v>0</v>
      </c>
      <c r="AC216" s="64">
        <v>0</v>
      </c>
      <c r="AD216" s="64">
        <v>0</v>
      </c>
      <c r="AE216" s="64">
        <v>0</v>
      </c>
      <c r="AF216" s="64">
        <v>0</v>
      </c>
      <c r="AG216" s="64">
        <v>0</v>
      </c>
      <c r="AH216" s="64">
        <v>4</v>
      </c>
      <c r="AI216" s="64">
        <v>1</v>
      </c>
      <c r="AJ216" s="64">
        <v>0</v>
      </c>
      <c r="AK216" s="64">
        <v>0</v>
      </c>
      <c r="AL216" s="64">
        <v>0</v>
      </c>
      <c r="AM216" s="64">
        <v>0</v>
      </c>
    </row>
    <row r="217" spans="2:39" x14ac:dyDescent="0.2">
      <c r="B217" t="str">
        <f t="shared" si="111"/>
        <v>NorCal-4</v>
      </c>
      <c r="C217" t="str">
        <f t="shared" si="112"/>
        <v>Nov 2024-NorCal-4</v>
      </c>
      <c r="D217">
        <f t="shared" si="113"/>
        <v>4</v>
      </c>
      <c r="E217">
        <f t="shared" si="114"/>
        <v>2.0299999999999998</v>
      </c>
      <c r="F217">
        <f t="shared" si="115"/>
        <v>3</v>
      </c>
      <c r="G217">
        <f t="shared" si="116"/>
        <v>2</v>
      </c>
      <c r="H217" t="str">
        <f>IF(V217="","",IFERROR(VLOOKUP(TRIM($V217),KEY!$B$2:$E$58,3,FALSE),""))</f>
        <v>NorCal</v>
      </c>
      <c r="I217" t="str">
        <f t="shared" si="117"/>
        <v>WEST-27</v>
      </c>
      <c r="J217" t="str">
        <f t="shared" si="110"/>
        <v>Feb 2025-WEST-27</v>
      </c>
      <c r="K217">
        <f t="shared" si="118"/>
        <v>27</v>
      </c>
      <c r="L217">
        <f t="shared" si="119"/>
        <v>17.16</v>
      </c>
      <c r="M217">
        <f>IF(V217="","",IFERROR(VLOOKUP(TRIM($V217),KEY!$B$2:$E$58,4,FALSE),""))</f>
        <v>16</v>
      </c>
      <c r="N217">
        <f t="shared" si="120"/>
        <v>17</v>
      </c>
      <c r="O217" t="str">
        <f t="shared" si="121"/>
        <v>HO-3</v>
      </c>
      <c r="P217">
        <f t="shared" si="122"/>
        <v>3</v>
      </c>
      <c r="Q217">
        <f t="shared" si="123"/>
        <v>3.01</v>
      </c>
      <c r="R217">
        <f t="shared" si="124"/>
        <v>1</v>
      </c>
      <c r="S217">
        <f t="shared" si="125"/>
        <v>3</v>
      </c>
      <c r="T217" t="str">
        <f>IF(V217="","",IFERROR(VLOOKUP(TRIM($V217),KEY!$B$2:$E$58,2,FALSE),""))</f>
        <v>HO</v>
      </c>
      <c r="V217" s="64" t="s">
        <v>22</v>
      </c>
      <c r="W217" s="64">
        <v>8</v>
      </c>
      <c r="X217" s="64">
        <v>0</v>
      </c>
      <c r="Y217" s="64">
        <v>0</v>
      </c>
      <c r="Z217" s="64">
        <v>0</v>
      </c>
      <c r="AA217" s="64">
        <v>0</v>
      </c>
      <c r="AB217" s="64">
        <v>0</v>
      </c>
      <c r="AC217" s="64">
        <v>0</v>
      </c>
      <c r="AD217" s="64">
        <v>0</v>
      </c>
      <c r="AE217" s="64">
        <v>0</v>
      </c>
      <c r="AF217" s="64">
        <v>0</v>
      </c>
      <c r="AG217" s="64">
        <v>0</v>
      </c>
      <c r="AH217" s="64">
        <v>8</v>
      </c>
      <c r="AI217" s="64">
        <v>1</v>
      </c>
      <c r="AJ217" s="64">
        <v>0</v>
      </c>
      <c r="AK217" s="64">
        <v>0</v>
      </c>
      <c r="AL217" s="64">
        <v>0</v>
      </c>
      <c r="AM217" s="64">
        <v>0</v>
      </c>
    </row>
    <row r="218" spans="2:39" x14ac:dyDescent="0.2">
      <c r="B218" t="str">
        <f t="shared" si="111"/>
        <v>OC-1</v>
      </c>
      <c r="C218" t="str">
        <f t="shared" si="112"/>
        <v>Nov 2024-OC-1</v>
      </c>
      <c r="D218">
        <f t="shared" si="113"/>
        <v>1</v>
      </c>
      <c r="E218">
        <f t="shared" si="114"/>
        <v>1.04</v>
      </c>
      <c r="F218">
        <f t="shared" si="115"/>
        <v>4</v>
      </c>
      <c r="G218">
        <f t="shared" si="116"/>
        <v>1</v>
      </c>
      <c r="H218" t="str">
        <f>IF(V218="","",IFERROR(VLOOKUP(TRIM($V218),KEY!$B$2:$E$58,3,FALSE),""))</f>
        <v>OC</v>
      </c>
      <c r="I218" t="str">
        <f t="shared" si="117"/>
        <v>WEST-8</v>
      </c>
      <c r="J218" t="str">
        <f t="shared" si="110"/>
        <v>Feb 2025-WEST-8</v>
      </c>
      <c r="K218">
        <f t="shared" si="118"/>
        <v>8</v>
      </c>
      <c r="L218">
        <f t="shared" si="119"/>
        <v>8.17</v>
      </c>
      <c r="M218">
        <f>IF(V218="","",IFERROR(VLOOKUP(TRIM($V218),KEY!$B$2:$E$58,4,FALSE),""))</f>
        <v>17</v>
      </c>
      <c r="N218">
        <f t="shared" si="120"/>
        <v>8</v>
      </c>
      <c r="O218" t="str">
        <f t="shared" si="121"/>
        <v>BM-2</v>
      </c>
      <c r="P218">
        <f t="shared" si="122"/>
        <v>2</v>
      </c>
      <c r="Q218">
        <f t="shared" si="123"/>
        <v>2.06</v>
      </c>
      <c r="R218">
        <f t="shared" si="124"/>
        <v>6</v>
      </c>
      <c r="S218">
        <f t="shared" si="125"/>
        <v>2</v>
      </c>
      <c r="T218" t="str">
        <f>IF(V218="","",IFERROR(VLOOKUP(TRIM($V218),KEY!$B$2:$E$58,2,FALSE),""))</f>
        <v>BM</v>
      </c>
      <c r="V218" s="64" t="s">
        <v>20</v>
      </c>
      <c r="W218" s="64">
        <v>153</v>
      </c>
      <c r="X218" s="64">
        <v>25</v>
      </c>
      <c r="Y218" s="64">
        <v>0.16339869281045752</v>
      </c>
      <c r="Z218" s="64">
        <v>1</v>
      </c>
      <c r="AA218" s="64">
        <v>25</v>
      </c>
      <c r="AB218" s="64">
        <v>0</v>
      </c>
      <c r="AC218" s="64">
        <v>0</v>
      </c>
      <c r="AD218" s="64">
        <v>26</v>
      </c>
      <c r="AE218" s="64">
        <v>0.16993464052287582</v>
      </c>
      <c r="AF218" s="64">
        <v>9</v>
      </c>
      <c r="AG218" s="64">
        <v>10</v>
      </c>
      <c r="AH218" s="64">
        <v>108</v>
      </c>
      <c r="AI218" s="64">
        <v>0.83006535947712423</v>
      </c>
      <c r="AJ218" s="64">
        <v>0</v>
      </c>
      <c r="AK218" s="64">
        <v>0</v>
      </c>
      <c r="AL218" s="64">
        <v>0</v>
      </c>
      <c r="AM218" s="64">
        <v>0</v>
      </c>
    </row>
    <row r="219" spans="2:39" x14ac:dyDescent="0.2">
      <c r="B219" t="str">
        <f t="shared" si="111"/>
        <v>OC-3</v>
      </c>
      <c r="C219" t="str">
        <f t="shared" si="112"/>
        <v>Nov 2024-OC-3</v>
      </c>
      <c r="D219">
        <f t="shared" si="113"/>
        <v>3</v>
      </c>
      <c r="E219">
        <f t="shared" si="114"/>
        <v>2.0499999999999998</v>
      </c>
      <c r="F219">
        <f t="shared" si="115"/>
        <v>5</v>
      </c>
      <c r="G219">
        <f t="shared" si="116"/>
        <v>2</v>
      </c>
      <c r="H219" t="str">
        <f>IF(V219="","",IFERROR(VLOOKUP(TRIM($V219),KEY!$B$2:$E$58,3,FALSE),""))</f>
        <v>OC</v>
      </c>
      <c r="I219" t="str">
        <f t="shared" si="117"/>
        <v>WEST-10</v>
      </c>
      <c r="J219" t="str">
        <f t="shared" si="110"/>
        <v>Feb 2025-WEST-10</v>
      </c>
      <c r="K219">
        <f t="shared" si="118"/>
        <v>10</v>
      </c>
      <c r="L219">
        <f t="shared" si="119"/>
        <v>10.18</v>
      </c>
      <c r="M219">
        <f>IF(V219="","",IFERROR(VLOOKUP(TRIM($V219),KEY!$B$2:$E$58,4,FALSE),""))</f>
        <v>18</v>
      </c>
      <c r="N219">
        <f t="shared" si="120"/>
        <v>10</v>
      </c>
      <c r="O219" t="str">
        <f t="shared" si="121"/>
        <v>MI-3</v>
      </c>
      <c r="P219">
        <f t="shared" si="122"/>
        <v>3</v>
      </c>
      <c r="Q219">
        <f t="shared" si="123"/>
        <v>2.0099999999999998</v>
      </c>
      <c r="R219">
        <f t="shared" si="124"/>
        <v>1</v>
      </c>
      <c r="S219">
        <f t="shared" si="125"/>
        <v>2</v>
      </c>
      <c r="T219" t="str">
        <f>IF(V219="","",IFERROR(VLOOKUP(TRIM($V219),KEY!$B$2:$E$58,2,FALSE),""))</f>
        <v>MI</v>
      </c>
      <c r="V219" s="64" t="s">
        <v>37</v>
      </c>
      <c r="W219" s="64">
        <v>8</v>
      </c>
      <c r="X219" s="64">
        <v>1</v>
      </c>
      <c r="Y219" s="64">
        <v>0.125</v>
      </c>
      <c r="Z219" s="64">
        <v>0</v>
      </c>
      <c r="AA219" s="64">
        <v>1</v>
      </c>
      <c r="AB219" s="64">
        <v>0</v>
      </c>
      <c r="AC219" s="64">
        <v>0</v>
      </c>
      <c r="AD219" s="64">
        <v>1</v>
      </c>
      <c r="AE219" s="64">
        <v>0.125</v>
      </c>
      <c r="AF219" s="64">
        <v>6</v>
      </c>
      <c r="AG219" s="64">
        <v>0</v>
      </c>
      <c r="AH219" s="64">
        <v>0</v>
      </c>
      <c r="AI219" s="64">
        <v>0.75</v>
      </c>
      <c r="AJ219" s="64">
        <v>0</v>
      </c>
      <c r="AK219" s="64">
        <v>1</v>
      </c>
      <c r="AL219" s="64">
        <v>0</v>
      </c>
      <c r="AM219" s="64">
        <v>0.125</v>
      </c>
    </row>
    <row r="220" spans="2:39" x14ac:dyDescent="0.2">
      <c r="B220" t="str">
        <f t="shared" si="111"/>
        <v>TX-4</v>
      </c>
      <c r="C220" t="str">
        <f t="shared" si="112"/>
        <v>Nov 2024-TX-4</v>
      </c>
      <c r="D220">
        <f t="shared" si="113"/>
        <v>4</v>
      </c>
      <c r="E220">
        <f t="shared" si="114"/>
        <v>4.0199999999999996</v>
      </c>
      <c r="F220">
        <f t="shared" si="115"/>
        <v>2</v>
      </c>
      <c r="G220">
        <f t="shared" si="116"/>
        <v>4</v>
      </c>
      <c r="H220" t="str">
        <f>IF(V220="","",IFERROR(VLOOKUP(TRIM($V220),KEY!$B$2:$E$58,3,FALSE),""))</f>
        <v>TX</v>
      </c>
      <c r="I220" t="str">
        <f t="shared" si="117"/>
        <v>WEST-28</v>
      </c>
      <c r="J220" t="str">
        <f t="shared" si="110"/>
        <v>Feb 2025-WEST-28</v>
      </c>
      <c r="K220">
        <f t="shared" si="118"/>
        <v>28</v>
      </c>
      <c r="L220">
        <f t="shared" si="119"/>
        <v>17.190000000000001</v>
      </c>
      <c r="M220">
        <f>IF(V220="","",IFERROR(VLOOKUP(TRIM($V220),KEY!$B$2:$E$58,4,FALSE),""))</f>
        <v>19</v>
      </c>
      <c r="N220">
        <f t="shared" si="120"/>
        <v>17</v>
      </c>
      <c r="O220" t="str">
        <f t="shared" si="121"/>
        <v>GE-1</v>
      </c>
      <c r="P220">
        <f t="shared" si="122"/>
        <v>1</v>
      </c>
      <c r="Q220">
        <f t="shared" si="123"/>
        <v>1.01</v>
      </c>
      <c r="R220">
        <f t="shared" si="124"/>
        <v>1</v>
      </c>
      <c r="S220">
        <f t="shared" si="125"/>
        <v>1</v>
      </c>
      <c r="T220" t="str">
        <f>IF(V220="","",IFERROR(VLOOKUP(TRIM($V220),KEY!$B$2:$E$58,2,FALSE),""))</f>
        <v>GE</v>
      </c>
      <c r="V220" s="64" t="s">
        <v>263</v>
      </c>
      <c r="W220" s="64">
        <v>1</v>
      </c>
      <c r="X220" s="64">
        <v>0</v>
      </c>
      <c r="Y220" s="64">
        <v>0</v>
      </c>
      <c r="Z220" s="64">
        <v>0</v>
      </c>
      <c r="AA220" s="64">
        <v>0</v>
      </c>
      <c r="AB220" s="64">
        <v>0</v>
      </c>
      <c r="AC220" s="64">
        <v>0</v>
      </c>
      <c r="AD220" s="64">
        <v>0</v>
      </c>
      <c r="AE220" s="64">
        <v>0</v>
      </c>
      <c r="AF220" s="64">
        <v>0</v>
      </c>
      <c r="AG220" s="64">
        <v>0</v>
      </c>
      <c r="AH220" s="64">
        <v>1</v>
      </c>
      <c r="AI220" s="64">
        <v>1</v>
      </c>
      <c r="AJ220" s="64">
        <v>0</v>
      </c>
      <c r="AK220" s="64">
        <v>0</v>
      </c>
      <c r="AL220" s="64">
        <v>0</v>
      </c>
      <c r="AM220" s="64">
        <v>0</v>
      </c>
    </row>
    <row r="221" spans="2:39" x14ac:dyDescent="0.2">
      <c r="B221" t="str">
        <f t="shared" si="111"/>
        <v>TX-2</v>
      </c>
      <c r="C221" t="str">
        <f t="shared" si="112"/>
        <v>Nov 2024-TX-2</v>
      </c>
      <c r="D221">
        <f t="shared" si="113"/>
        <v>2</v>
      </c>
      <c r="E221">
        <f t="shared" si="114"/>
        <v>2.0299999999999998</v>
      </c>
      <c r="F221">
        <f t="shared" si="115"/>
        <v>3</v>
      </c>
      <c r="G221">
        <f t="shared" si="116"/>
        <v>2</v>
      </c>
      <c r="H221" t="str">
        <f>IF(V221="","",IFERROR(VLOOKUP(TRIM($V221),KEY!$B$2:$E$58,3,FALSE),""))</f>
        <v>TX</v>
      </c>
      <c r="I221" t="str">
        <f t="shared" si="117"/>
        <v>WEST-5</v>
      </c>
      <c r="J221" t="str">
        <f t="shared" si="110"/>
        <v>Feb 2025-WEST-5</v>
      </c>
      <c r="K221">
        <f t="shared" si="118"/>
        <v>5</v>
      </c>
      <c r="L221">
        <f t="shared" si="119"/>
        <v>5.2</v>
      </c>
      <c r="M221">
        <f>IF(V221="","",IFERROR(VLOOKUP(TRIM($V221),KEY!$B$2:$E$58,4,FALSE),""))</f>
        <v>20</v>
      </c>
      <c r="N221">
        <f t="shared" si="120"/>
        <v>5</v>
      </c>
      <c r="O221" t="str">
        <f t="shared" si="121"/>
        <v>HO-2</v>
      </c>
      <c r="P221">
        <f t="shared" si="122"/>
        <v>2</v>
      </c>
      <c r="Q221">
        <f t="shared" si="123"/>
        <v>2.02</v>
      </c>
      <c r="R221">
        <f t="shared" si="124"/>
        <v>2</v>
      </c>
      <c r="S221">
        <f t="shared" si="125"/>
        <v>2</v>
      </c>
      <c r="T221" t="str">
        <f>IF(V221="","",IFERROR(VLOOKUP(TRIM($V221),KEY!$B$2:$E$58,2,FALSE),""))</f>
        <v>HO</v>
      </c>
      <c r="V221" s="64" t="s">
        <v>239</v>
      </c>
      <c r="W221" s="64">
        <v>17</v>
      </c>
      <c r="X221" s="64">
        <v>3</v>
      </c>
      <c r="Y221" s="64">
        <v>0.17647058823529413</v>
      </c>
      <c r="Z221" s="64">
        <v>0</v>
      </c>
      <c r="AA221" s="64">
        <v>3</v>
      </c>
      <c r="AB221" s="64">
        <v>0</v>
      </c>
      <c r="AC221" s="64">
        <v>1</v>
      </c>
      <c r="AD221" s="64">
        <v>4</v>
      </c>
      <c r="AE221" s="64">
        <v>0.23529411764705882</v>
      </c>
      <c r="AF221" s="64">
        <v>9</v>
      </c>
      <c r="AG221" s="64">
        <v>0</v>
      </c>
      <c r="AH221" s="64">
        <v>3</v>
      </c>
      <c r="AI221" s="64">
        <v>0.70588235294117652</v>
      </c>
      <c r="AJ221" s="64">
        <v>0</v>
      </c>
      <c r="AK221" s="64">
        <v>1</v>
      </c>
      <c r="AL221" s="64">
        <v>0</v>
      </c>
      <c r="AM221" s="64">
        <v>5.8823529411764705E-2</v>
      </c>
    </row>
    <row r="222" spans="2:39" x14ac:dyDescent="0.2">
      <c r="B222" t="str">
        <f t="shared" si="111"/>
        <v>NorCal-5</v>
      </c>
      <c r="C222" t="str">
        <f t="shared" si="112"/>
        <v>Nov 2024-NorCal-5</v>
      </c>
      <c r="D222">
        <f t="shared" si="113"/>
        <v>5</v>
      </c>
      <c r="E222">
        <f t="shared" si="114"/>
        <v>2.04</v>
      </c>
      <c r="F222">
        <f t="shared" si="115"/>
        <v>4</v>
      </c>
      <c r="G222">
        <f t="shared" si="116"/>
        <v>2</v>
      </c>
      <c r="H222" t="str">
        <f>IF(V222="","",IFERROR(VLOOKUP(TRIM($V222),KEY!$B$2:$E$58,3,FALSE),""))</f>
        <v>NorCal</v>
      </c>
      <c r="I222" t="str">
        <f t="shared" si="117"/>
        <v>WEST-29</v>
      </c>
      <c r="J222" t="str">
        <f t="shared" si="110"/>
        <v>Feb 2025-WEST-29</v>
      </c>
      <c r="K222">
        <f t="shared" si="118"/>
        <v>29</v>
      </c>
      <c r="L222">
        <f t="shared" si="119"/>
        <v>17.21</v>
      </c>
      <c r="M222">
        <f>IF(V222="","",IFERROR(VLOOKUP(TRIM($V222),KEY!$B$2:$E$58,4,FALSE),""))</f>
        <v>21</v>
      </c>
      <c r="N222">
        <f t="shared" si="120"/>
        <v>17</v>
      </c>
      <c r="O222" t="str">
        <f t="shared" si="121"/>
        <v>HO-4</v>
      </c>
      <c r="P222">
        <f t="shared" si="122"/>
        <v>4</v>
      </c>
      <c r="Q222">
        <f t="shared" si="123"/>
        <v>3.03</v>
      </c>
      <c r="R222">
        <f t="shared" si="124"/>
        <v>3</v>
      </c>
      <c r="S222">
        <f t="shared" si="125"/>
        <v>3</v>
      </c>
      <c r="T222" t="str">
        <f>IF(V222="","",IFERROR(VLOOKUP(TRIM($V222),KEY!$B$2:$E$58,2,FALSE),""))</f>
        <v>HO</v>
      </c>
      <c r="V222" s="64" t="s">
        <v>23</v>
      </c>
      <c r="W222" s="64">
        <v>17</v>
      </c>
      <c r="X222" s="64">
        <v>0</v>
      </c>
      <c r="Y222" s="64">
        <v>0</v>
      </c>
      <c r="Z222" s="64">
        <v>0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0</v>
      </c>
      <c r="AG222" s="64">
        <v>0</v>
      </c>
      <c r="AH222" s="64">
        <v>17</v>
      </c>
      <c r="AI222" s="64">
        <v>1</v>
      </c>
      <c r="AJ222" s="64">
        <v>0</v>
      </c>
      <c r="AK222" s="64">
        <v>0</v>
      </c>
      <c r="AL222" s="64">
        <v>0</v>
      </c>
      <c r="AM222" s="64">
        <v>0</v>
      </c>
    </row>
    <row r="223" spans="2:39" x14ac:dyDescent="0.2">
      <c r="B223" t="str">
        <f t="shared" si="111"/>
        <v>SoCal-2</v>
      </c>
      <c r="C223" t="str">
        <f t="shared" si="112"/>
        <v>Nov 2024-SoCal-2</v>
      </c>
      <c r="D223">
        <f t="shared" si="113"/>
        <v>2</v>
      </c>
      <c r="E223">
        <f t="shared" si="114"/>
        <v>2.0499999999999998</v>
      </c>
      <c r="F223">
        <f t="shared" si="115"/>
        <v>5</v>
      </c>
      <c r="G223">
        <f t="shared" si="116"/>
        <v>2</v>
      </c>
      <c r="H223" t="str">
        <f>IF(V223="","",IFERROR(VLOOKUP(TRIM($V223),KEY!$B$2:$E$58,3,FALSE),""))</f>
        <v>SoCal</v>
      </c>
      <c r="I223" t="str">
        <f t="shared" si="117"/>
        <v>WEST-3</v>
      </c>
      <c r="J223" t="str">
        <f t="shared" si="110"/>
        <v>Feb 2025-WEST-3</v>
      </c>
      <c r="K223">
        <f t="shared" si="118"/>
        <v>3</v>
      </c>
      <c r="L223">
        <f t="shared" si="119"/>
        <v>3.22</v>
      </c>
      <c r="M223">
        <f>IF(V223="","",IFERROR(VLOOKUP(TRIM($V223),KEY!$B$2:$E$58,4,FALSE),""))</f>
        <v>22</v>
      </c>
      <c r="N223">
        <f t="shared" si="120"/>
        <v>3</v>
      </c>
      <c r="O223" t="str">
        <f t="shared" si="121"/>
        <v>HO-1</v>
      </c>
      <c r="P223">
        <f t="shared" si="122"/>
        <v>1</v>
      </c>
      <c r="Q223">
        <f t="shared" si="123"/>
        <v>1.04</v>
      </c>
      <c r="R223">
        <f t="shared" si="124"/>
        <v>4</v>
      </c>
      <c r="S223">
        <f t="shared" si="125"/>
        <v>1</v>
      </c>
      <c r="T223" t="str">
        <f>IF(V223="","",IFERROR(VLOOKUP(TRIM($V223),KEY!$B$2:$E$58,2,FALSE),""))</f>
        <v>HO</v>
      </c>
      <c r="V223" s="64" t="s">
        <v>24</v>
      </c>
      <c r="W223" s="64">
        <v>21</v>
      </c>
      <c r="X223" s="64">
        <v>5</v>
      </c>
      <c r="Y223" s="64">
        <v>0.23809523809523808</v>
      </c>
      <c r="Z223" s="64">
        <v>0</v>
      </c>
      <c r="AA223" s="64">
        <v>5</v>
      </c>
      <c r="AB223" s="64">
        <v>0</v>
      </c>
      <c r="AC223" s="64">
        <v>0</v>
      </c>
      <c r="AD223" s="64">
        <v>5</v>
      </c>
      <c r="AE223" s="64">
        <v>0.23809523809523808</v>
      </c>
      <c r="AF223" s="64">
        <v>13</v>
      </c>
      <c r="AG223" s="64">
        <v>0</v>
      </c>
      <c r="AH223" s="64">
        <v>0</v>
      </c>
      <c r="AI223" s="64">
        <v>0.61904761904761907</v>
      </c>
      <c r="AJ223" s="64">
        <v>0</v>
      </c>
      <c r="AK223" s="64">
        <v>3</v>
      </c>
      <c r="AL223" s="64">
        <v>0</v>
      </c>
      <c r="AM223" s="64">
        <v>0.14285714285714285</v>
      </c>
    </row>
    <row r="224" spans="2:39" x14ac:dyDescent="0.2">
      <c r="B224" t="str">
        <f t="shared" si="111"/>
        <v>TX-5</v>
      </c>
      <c r="C224" t="str">
        <f t="shared" si="112"/>
        <v>Nov 2024-TX-5</v>
      </c>
      <c r="D224">
        <f t="shared" si="113"/>
        <v>5</v>
      </c>
      <c r="E224">
        <f t="shared" si="114"/>
        <v>4.04</v>
      </c>
      <c r="F224">
        <f t="shared" si="115"/>
        <v>4</v>
      </c>
      <c r="G224">
        <f t="shared" si="116"/>
        <v>4</v>
      </c>
      <c r="H224" t="str">
        <f>IF(V224="","",IFERROR(VLOOKUP(TRIM($V224),KEY!$B$2:$E$58,3,FALSE),""))</f>
        <v>TX</v>
      </c>
      <c r="I224" t="str">
        <f t="shared" si="117"/>
        <v>WEST-30</v>
      </c>
      <c r="J224" t="str">
        <f t="shared" si="110"/>
        <v>Feb 2025-WEST-30</v>
      </c>
      <c r="K224">
        <f t="shared" si="118"/>
        <v>30</v>
      </c>
      <c r="L224">
        <f t="shared" si="119"/>
        <v>17.23</v>
      </c>
      <c r="M224">
        <f>IF(V224="","",IFERROR(VLOOKUP(TRIM($V224),KEY!$B$2:$E$58,4,FALSE),""))</f>
        <v>23</v>
      </c>
      <c r="N224">
        <f t="shared" si="120"/>
        <v>17</v>
      </c>
      <c r="O224" t="str">
        <f t="shared" si="121"/>
        <v>HY-1</v>
      </c>
      <c r="P224">
        <f t="shared" si="122"/>
        <v>1</v>
      </c>
      <c r="Q224">
        <f t="shared" si="123"/>
        <v>1.01</v>
      </c>
      <c r="R224">
        <f t="shared" si="124"/>
        <v>1</v>
      </c>
      <c r="S224">
        <f t="shared" si="125"/>
        <v>1</v>
      </c>
      <c r="T224" t="str">
        <f>IF(V224="","",IFERROR(VLOOKUP(TRIM($V224),KEY!$B$2:$E$58,2,FALSE),""))</f>
        <v>HY</v>
      </c>
      <c r="V224" s="64" t="s">
        <v>27</v>
      </c>
      <c r="W224" s="64">
        <v>9</v>
      </c>
      <c r="X224" s="64">
        <v>0</v>
      </c>
      <c r="Y224" s="64">
        <v>0</v>
      </c>
      <c r="Z224" s="64">
        <v>0</v>
      </c>
      <c r="AA224" s="64">
        <v>0</v>
      </c>
      <c r="AB224" s="64">
        <v>0</v>
      </c>
      <c r="AC224" s="64">
        <v>1</v>
      </c>
      <c r="AD224" s="64">
        <v>1</v>
      </c>
      <c r="AE224" s="64">
        <v>0.1111111111111111</v>
      </c>
      <c r="AF224" s="64">
        <v>0</v>
      </c>
      <c r="AG224" s="64">
        <v>0</v>
      </c>
      <c r="AH224" s="64">
        <v>8</v>
      </c>
      <c r="AI224" s="64">
        <v>0.88888888888888884</v>
      </c>
      <c r="AJ224" s="64">
        <v>0</v>
      </c>
      <c r="AK224" s="64">
        <v>0</v>
      </c>
      <c r="AL224" s="64">
        <v>0</v>
      </c>
      <c r="AM224" s="64">
        <v>0</v>
      </c>
    </row>
    <row r="225" spans="2:39" x14ac:dyDescent="0.2">
      <c r="B225" t="str">
        <f t="shared" si="111"/>
        <v>SoCal-1</v>
      </c>
      <c r="C225" t="str">
        <f t="shared" si="112"/>
        <v>Nov 2024-SoCal-1</v>
      </c>
      <c r="D225">
        <f t="shared" si="113"/>
        <v>1</v>
      </c>
      <c r="E225">
        <f t="shared" si="114"/>
        <v>1.06</v>
      </c>
      <c r="F225">
        <f t="shared" si="115"/>
        <v>6</v>
      </c>
      <c r="G225">
        <f t="shared" si="116"/>
        <v>1</v>
      </c>
      <c r="H225" t="str">
        <f>IF(V225="","",IFERROR(VLOOKUP(TRIM($V225),KEY!$B$2:$E$58,3,FALSE),""))</f>
        <v>SoCal</v>
      </c>
      <c r="I225" t="str">
        <f t="shared" si="117"/>
        <v>WEST-2</v>
      </c>
      <c r="J225" t="str">
        <f t="shared" si="110"/>
        <v>Feb 2025-WEST-2</v>
      </c>
      <c r="K225">
        <f t="shared" si="118"/>
        <v>2</v>
      </c>
      <c r="L225">
        <f t="shared" si="119"/>
        <v>2.2400000000000002</v>
      </c>
      <c r="M225">
        <f>IF(V225="","",IFERROR(VLOOKUP(TRIM($V225),KEY!$B$2:$E$58,4,FALSE),""))</f>
        <v>24</v>
      </c>
      <c r="N225">
        <f t="shared" si="120"/>
        <v>2</v>
      </c>
      <c r="O225" t="str">
        <f t="shared" si="121"/>
        <v>AC-1</v>
      </c>
      <c r="P225">
        <f t="shared" si="122"/>
        <v>1</v>
      </c>
      <c r="Q225">
        <f t="shared" si="123"/>
        <v>1.04</v>
      </c>
      <c r="R225">
        <f t="shared" si="124"/>
        <v>4</v>
      </c>
      <c r="S225">
        <f t="shared" si="125"/>
        <v>1</v>
      </c>
      <c r="T225" t="str">
        <f>IF(V225="","",IFERROR(VLOOKUP(TRIM($V225),KEY!$B$2:$E$58,2,FALSE),""))</f>
        <v>AC</v>
      </c>
      <c r="V225" s="64" t="s">
        <v>73</v>
      </c>
      <c r="W225" s="64">
        <v>11</v>
      </c>
      <c r="X225" s="64">
        <v>3</v>
      </c>
      <c r="Y225" s="64">
        <v>0.27272727272727271</v>
      </c>
      <c r="Z225" s="64">
        <v>0</v>
      </c>
      <c r="AA225" s="64">
        <v>3</v>
      </c>
      <c r="AB225" s="64">
        <v>0</v>
      </c>
      <c r="AC225" s="64">
        <v>1</v>
      </c>
      <c r="AD225" s="64">
        <v>4</v>
      </c>
      <c r="AE225" s="64">
        <v>0.36363636363636365</v>
      </c>
      <c r="AF225" s="64">
        <v>4</v>
      </c>
      <c r="AG225" s="64">
        <v>0</v>
      </c>
      <c r="AH225" s="64">
        <v>1</v>
      </c>
      <c r="AI225" s="64">
        <v>0.45454545454545453</v>
      </c>
      <c r="AJ225" s="64">
        <v>1</v>
      </c>
      <c r="AK225" s="64">
        <v>1</v>
      </c>
      <c r="AL225" s="64">
        <v>0</v>
      </c>
      <c r="AM225" s="64">
        <v>0.18181818181818182</v>
      </c>
    </row>
    <row r="226" spans="2:39" x14ac:dyDescent="0.2">
      <c r="B226" t="str">
        <f t="shared" si="111"/>
        <v>SoCal-8</v>
      </c>
      <c r="C226" t="str">
        <f t="shared" si="112"/>
        <v>Nov 2024-SoCal-8</v>
      </c>
      <c r="D226">
        <f t="shared" si="113"/>
        <v>8</v>
      </c>
      <c r="E226">
        <f t="shared" si="114"/>
        <v>5.07</v>
      </c>
      <c r="F226">
        <f t="shared" si="115"/>
        <v>7</v>
      </c>
      <c r="G226">
        <f t="shared" si="116"/>
        <v>5</v>
      </c>
      <c r="H226" t="str">
        <f>IF(V226="","",IFERROR(VLOOKUP(TRIM($V226),KEY!$B$2:$E$58,3,FALSE),""))</f>
        <v>SoCal</v>
      </c>
      <c r="I226" t="str">
        <f t="shared" si="117"/>
        <v>WEST-31</v>
      </c>
      <c r="J226" t="str">
        <f t="shared" si="110"/>
        <v>Feb 2025-WEST-31</v>
      </c>
      <c r="K226">
        <f t="shared" si="118"/>
        <v>31</v>
      </c>
      <c r="L226">
        <f t="shared" si="119"/>
        <v>17.25</v>
      </c>
      <c r="M226">
        <f>IF(V226="","",IFERROR(VLOOKUP(TRIM($V226),KEY!$B$2:$E$58,4,FALSE),""))</f>
        <v>25</v>
      </c>
      <c r="N226">
        <f t="shared" si="120"/>
        <v>17</v>
      </c>
      <c r="O226" t="str">
        <f t="shared" si="121"/>
        <v>TO-2</v>
      </c>
      <c r="P226">
        <f t="shared" si="122"/>
        <v>2</v>
      </c>
      <c r="Q226">
        <f t="shared" si="123"/>
        <v>2.0099999999999998</v>
      </c>
      <c r="R226">
        <f t="shared" si="124"/>
        <v>1</v>
      </c>
      <c r="S226">
        <f t="shared" si="125"/>
        <v>2</v>
      </c>
      <c r="T226" t="str">
        <f>IF(V226="","",IFERROR(VLOOKUP(TRIM($V226),KEY!$B$2:$E$58,2,FALSE),""))</f>
        <v>TO</v>
      </c>
      <c r="V226" s="64" t="s">
        <v>49</v>
      </c>
      <c r="W226" s="64">
        <v>17</v>
      </c>
      <c r="X226" s="64">
        <v>0</v>
      </c>
      <c r="Y226" s="64">
        <v>0</v>
      </c>
      <c r="Z226" s="64">
        <v>0</v>
      </c>
      <c r="AA226" s="64">
        <v>0</v>
      </c>
      <c r="AB226" s="64">
        <v>0</v>
      </c>
      <c r="AC226" s="64">
        <v>1</v>
      </c>
      <c r="AD226" s="64">
        <v>1</v>
      </c>
      <c r="AE226" s="64">
        <v>5.8823529411764705E-2</v>
      </c>
      <c r="AF226" s="64">
        <v>0</v>
      </c>
      <c r="AG226" s="64">
        <v>0</v>
      </c>
      <c r="AH226" s="64">
        <v>16</v>
      </c>
      <c r="AI226" s="64">
        <v>0.94117647058823528</v>
      </c>
      <c r="AJ226" s="64">
        <v>0</v>
      </c>
      <c r="AK226" s="64">
        <v>0</v>
      </c>
      <c r="AL226" s="64">
        <v>0</v>
      </c>
      <c r="AM226" s="64">
        <v>0</v>
      </c>
    </row>
    <row r="227" spans="2:39" x14ac:dyDescent="0.2">
      <c r="B227" t="str">
        <f t="shared" si="111"/>
        <v>AZ-9</v>
      </c>
      <c r="C227" t="str">
        <f t="shared" si="112"/>
        <v>Nov 2024-AZ-9</v>
      </c>
      <c r="D227">
        <f t="shared" si="113"/>
        <v>9</v>
      </c>
      <c r="E227">
        <f t="shared" si="114"/>
        <v>5.0599999999999996</v>
      </c>
      <c r="F227">
        <f t="shared" si="115"/>
        <v>6</v>
      </c>
      <c r="G227">
        <f t="shared" si="116"/>
        <v>5</v>
      </c>
      <c r="H227" t="str">
        <f>IF(V227="","",IFERROR(VLOOKUP(TRIM($V227),KEY!$B$2:$E$58,3,FALSE),""))</f>
        <v>AZ</v>
      </c>
      <c r="I227" t="str">
        <f t="shared" si="117"/>
        <v>WEST-32</v>
      </c>
      <c r="J227" t="str">
        <f t="shared" si="110"/>
        <v>Feb 2025-WEST-32</v>
      </c>
      <c r="K227">
        <f t="shared" si="118"/>
        <v>32</v>
      </c>
      <c r="L227">
        <f t="shared" si="119"/>
        <v>17.260000000000002</v>
      </c>
      <c r="M227">
        <f>IF(V227="","",IFERROR(VLOOKUP(TRIM($V227),KEY!$B$2:$E$58,4,FALSE),""))</f>
        <v>26</v>
      </c>
      <c r="N227">
        <f t="shared" si="120"/>
        <v>17</v>
      </c>
      <c r="O227" t="str">
        <f t="shared" si="121"/>
        <v>LA-1</v>
      </c>
      <c r="P227">
        <f t="shared" si="122"/>
        <v>1</v>
      </c>
      <c r="Q227">
        <f t="shared" si="123"/>
        <v>1.01</v>
      </c>
      <c r="R227">
        <f t="shared" si="124"/>
        <v>1</v>
      </c>
      <c r="S227">
        <f t="shared" si="125"/>
        <v>1</v>
      </c>
      <c r="T227" t="str">
        <f>IF(V227="","",IFERROR(VLOOKUP(TRIM($V227),KEY!$B$2:$E$58,2,FALSE),""))</f>
        <v>LA</v>
      </c>
      <c r="V227" s="64" t="s">
        <v>278</v>
      </c>
      <c r="W227" s="64">
        <v>1</v>
      </c>
      <c r="X227" s="64">
        <v>0</v>
      </c>
      <c r="Y227" s="64">
        <v>0</v>
      </c>
      <c r="Z227" s="64">
        <v>0</v>
      </c>
      <c r="AA227" s="64">
        <v>0</v>
      </c>
      <c r="AB227" s="64">
        <v>0</v>
      </c>
      <c r="AC227" s="64">
        <v>0</v>
      </c>
      <c r="AD227" s="64">
        <v>0</v>
      </c>
      <c r="AE227" s="64">
        <v>0</v>
      </c>
      <c r="AF227" s="64">
        <v>0</v>
      </c>
      <c r="AG227" s="64">
        <v>0</v>
      </c>
      <c r="AH227" s="64">
        <v>1</v>
      </c>
      <c r="AI227" s="64">
        <v>1</v>
      </c>
      <c r="AJ227" s="64">
        <v>0</v>
      </c>
      <c r="AK227" s="64">
        <v>0</v>
      </c>
      <c r="AL227" s="64">
        <v>0</v>
      </c>
      <c r="AM227" s="64">
        <v>0</v>
      </c>
    </row>
    <row r="228" spans="2:39" x14ac:dyDescent="0.2">
      <c r="B228" t="str">
        <f t="shared" si="111"/>
        <v>AZ-10</v>
      </c>
      <c r="C228" t="str">
        <f t="shared" si="112"/>
        <v>Nov 2024-AZ-10</v>
      </c>
      <c r="D228">
        <f t="shared" si="113"/>
        <v>10</v>
      </c>
      <c r="E228">
        <f t="shared" si="114"/>
        <v>5.07</v>
      </c>
      <c r="F228">
        <f t="shared" si="115"/>
        <v>7</v>
      </c>
      <c r="G228">
        <f t="shared" si="116"/>
        <v>5</v>
      </c>
      <c r="H228" t="str">
        <f>IF(V228="","",IFERROR(VLOOKUP(TRIM($V228),KEY!$B$2:$E$58,3,FALSE),""))</f>
        <v>AZ</v>
      </c>
      <c r="I228" t="str">
        <f t="shared" si="117"/>
        <v>WEST-33</v>
      </c>
      <c r="J228" t="str">
        <f t="shared" si="110"/>
        <v>Feb 2025-WEST-33</v>
      </c>
      <c r="K228">
        <f t="shared" si="118"/>
        <v>33</v>
      </c>
      <c r="L228">
        <f t="shared" si="119"/>
        <v>17.27</v>
      </c>
      <c r="M228">
        <f>IF(V228="","",IFERROR(VLOOKUP(TRIM($V228),KEY!$B$2:$E$58,4,FALSE),""))</f>
        <v>27</v>
      </c>
      <c r="N228">
        <f t="shared" si="120"/>
        <v>17</v>
      </c>
      <c r="O228" t="str">
        <f t="shared" si="121"/>
        <v>JA-1</v>
      </c>
      <c r="P228">
        <f t="shared" si="122"/>
        <v>1</v>
      </c>
      <c r="Q228">
        <f t="shared" si="123"/>
        <v>1.01</v>
      </c>
      <c r="R228">
        <f t="shared" si="124"/>
        <v>1</v>
      </c>
      <c r="S228">
        <f t="shared" si="125"/>
        <v>1</v>
      </c>
      <c r="T228" t="str">
        <f>IF(V228="","",IFERROR(VLOOKUP(TRIM($V228),KEY!$B$2:$E$58,2,FALSE),""))</f>
        <v>JA</v>
      </c>
      <c r="V228" s="64" t="s">
        <v>261</v>
      </c>
      <c r="W228" s="64">
        <v>3</v>
      </c>
      <c r="X228" s="64">
        <v>0</v>
      </c>
      <c r="Y228" s="64">
        <v>0</v>
      </c>
      <c r="Z228" s="64">
        <v>0</v>
      </c>
      <c r="AA228" s="64">
        <v>0</v>
      </c>
      <c r="AB228" s="64">
        <v>0</v>
      </c>
      <c r="AC228" s="64">
        <v>0</v>
      </c>
      <c r="AD228" s="64">
        <v>0</v>
      </c>
      <c r="AE228" s="64">
        <v>0</v>
      </c>
      <c r="AF228" s="64">
        <v>0</v>
      </c>
      <c r="AG228" s="64">
        <v>0</v>
      </c>
      <c r="AH228" s="64">
        <v>3</v>
      </c>
      <c r="AI228" s="64">
        <v>1</v>
      </c>
      <c r="AJ228" s="64">
        <v>0</v>
      </c>
      <c r="AK228" s="64">
        <v>0</v>
      </c>
      <c r="AL228" s="64">
        <v>0</v>
      </c>
      <c r="AM228" s="64">
        <v>0</v>
      </c>
    </row>
    <row r="229" spans="2:39" x14ac:dyDescent="0.2">
      <c r="B229" t="str">
        <f t="shared" si="111"/>
        <v>AZ-11</v>
      </c>
      <c r="C229" t="str">
        <f t="shared" si="112"/>
        <v>Nov 2024-AZ-11</v>
      </c>
      <c r="D229">
        <f t="shared" si="113"/>
        <v>11</v>
      </c>
      <c r="E229">
        <f t="shared" si="114"/>
        <v>5.08</v>
      </c>
      <c r="F229">
        <f t="shared" si="115"/>
        <v>8</v>
      </c>
      <c r="G229">
        <f t="shared" si="116"/>
        <v>5</v>
      </c>
      <c r="H229" t="str">
        <f>IF(V229="","",IFERROR(VLOOKUP(TRIM($V229),KEY!$B$2:$E$58,3,FALSE),""))</f>
        <v>AZ</v>
      </c>
      <c r="I229" t="str">
        <f t="shared" si="117"/>
        <v>WEST-34</v>
      </c>
      <c r="J229" t="str">
        <f t="shared" si="110"/>
        <v>Feb 2025-WEST-34</v>
      </c>
      <c r="K229">
        <f t="shared" si="118"/>
        <v>34</v>
      </c>
      <c r="L229">
        <f t="shared" si="119"/>
        <v>17.28</v>
      </c>
      <c r="M229">
        <f>IF(V229="","",IFERROR(VLOOKUP(TRIM($V229),KEY!$B$2:$E$58,4,FALSE),""))</f>
        <v>28</v>
      </c>
      <c r="N229">
        <f t="shared" si="120"/>
        <v>17</v>
      </c>
      <c r="O229" t="str">
        <f t="shared" si="121"/>
        <v>JA-2</v>
      </c>
      <c r="P229">
        <f t="shared" si="122"/>
        <v>2</v>
      </c>
      <c r="Q229">
        <f t="shared" si="123"/>
        <v>1.02</v>
      </c>
      <c r="R229">
        <f t="shared" si="124"/>
        <v>2</v>
      </c>
      <c r="S229">
        <f t="shared" si="125"/>
        <v>1</v>
      </c>
      <c r="T229" t="str">
        <f>IF(V229="","",IFERROR(VLOOKUP(TRIM($V229),KEY!$B$2:$E$58,2,FALSE),""))</f>
        <v>JA</v>
      </c>
      <c r="V229" s="64" t="s">
        <v>260</v>
      </c>
      <c r="W229" s="64">
        <v>3</v>
      </c>
      <c r="X229" s="64">
        <v>0</v>
      </c>
      <c r="Y229" s="64">
        <v>0</v>
      </c>
      <c r="Z229" s="64">
        <v>0</v>
      </c>
      <c r="AA229" s="64">
        <v>0</v>
      </c>
      <c r="AB229" s="64">
        <v>0</v>
      </c>
      <c r="AC229" s="64">
        <v>0</v>
      </c>
      <c r="AD229" s="64">
        <v>0</v>
      </c>
      <c r="AE229" s="64">
        <v>0</v>
      </c>
      <c r="AF229" s="64">
        <v>0</v>
      </c>
      <c r="AG229" s="64">
        <v>0</v>
      </c>
      <c r="AH229" s="64">
        <v>3</v>
      </c>
      <c r="AI229" s="64">
        <v>1</v>
      </c>
      <c r="AJ229" s="64">
        <v>0</v>
      </c>
      <c r="AK229" s="64">
        <v>0</v>
      </c>
      <c r="AL229" s="64">
        <v>0</v>
      </c>
      <c r="AM229" s="64">
        <v>0</v>
      </c>
    </row>
    <row r="230" spans="2:39" x14ac:dyDescent="0.2">
      <c r="B230" t="str">
        <f t="shared" si="111"/>
        <v>TX-6</v>
      </c>
      <c r="C230" t="str">
        <f t="shared" si="112"/>
        <v>Nov 2024-TX-6</v>
      </c>
      <c r="D230">
        <f t="shared" si="113"/>
        <v>6</v>
      </c>
      <c r="E230">
        <f t="shared" si="114"/>
        <v>4.05</v>
      </c>
      <c r="F230">
        <f t="shared" si="115"/>
        <v>5</v>
      </c>
      <c r="G230">
        <f t="shared" si="116"/>
        <v>4</v>
      </c>
      <c r="H230" t="str">
        <f>IF(V230="","",IFERROR(VLOOKUP(TRIM($V230),KEY!$B$2:$E$58,3,FALSE),""))</f>
        <v>TX</v>
      </c>
      <c r="I230" t="str">
        <f t="shared" si="117"/>
        <v>WEST-35</v>
      </c>
      <c r="J230" t="str">
        <f t="shared" si="110"/>
        <v>Feb 2025-WEST-35</v>
      </c>
      <c r="K230">
        <f t="shared" si="118"/>
        <v>35</v>
      </c>
      <c r="L230">
        <f t="shared" si="119"/>
        <v>17.29</v>
      </c>
      <c r="M230">
        <f>IF(V230="","",IFERROR(VLOOKUP(TRIM($V230),KEY!$B$2:$E$58,4,FALSE),""))</f>
        <v>29</v>
      </c>
      <c r="N230">
        <f t="shared" si="120"/>
        <v>17</v>
      </c>
      <c r="O230" t="str">
        <f t="shared" si="121"/>
        <v>LE-1</v>
      </c>
      <c r="P230">
        <f t="shared" si="122"/>
        <v>1</v>
      </c>
      <c r="Q230">
        <f t="shared" si="123"/>
        <v>1.01</v>
      </c>
      <c r="R230">
        <f t="shared" si="124"/>
        <v>1</v>
      </c>
      <c r="S230">
        <f t="shared" si="125"/>
        <v>1</v>
      </c>
      <c r="T230" t="str">
        <f>IF(V230="","",IFERROR(VLOOKUP(TRIM($V230),KEY!$B$2:$E$58,2,FALSE),""))</f>
        <v>LE</v>
      </c>
      <c r="V230" s="64" t="s">
        <v>29</v>
      </c>
      <c r="W230" s="64">
        <v>10</v>
      </c>
      <c r="X230" s="64">
        <v>0</v>
      </c>
      <c r="Y230" s="64">
        <v>0</v>
      </c>
      <c r="Z230" s="64">
        <v>0</v>
      </c>
      <c r="AA230" s="64">
        <v>0</v>
      </c>
      <c r="AB230" s="64">
        <v>0</v>
      </c>
      <c r="AC230" s="64">
        <v>0</v>
      </c>
      <c r="AD230" s="64">
        <v>0</v>
      </c>
      <c r="AE230" s="64">
        <v>0</v>
      </c>
      <c r="AF230" s="64">
        <v>0</v>
      </c>
      <c r="AG230" s="64">
        <v>0</v>
      </c>
      <c r="AH230" s="64">
        <v>10</v>
      </c>
      <c r="AI230" s="64">
        <v>1</v>
      </c>
      <c r="AJ230" s="64">
        <v>0</v>
      </c>
      <c r="AK230" s="64">
        <v>0</v>
      </c>
      <c r="AL230" s="64">
        <v>0</v>
      </c>
      <c r="AM230" s="64">
        <v>0</v>
      </c>
    </row>
    <row r="231" spans="2:39" x14ac:dyDescent="0.2">
      <c r="B231" t="str">
        <f t="shared" si="111"/>
        <v>AZ-12</v>
      </c>
      <c r="C231" t="str">
        <f t="shared" si="112"/>
        <v>Nov 2024-AZ-12</v>
      </c>
      <c r="D231">
        <f t="shared" si="113"/>
        <v>12</v>
      </c>
      <c r="E231">
        <f t="shared" si="114"/>
        <v>5.09</v>
      </c>
      <c r="F231">
        <f t="shared" si="115"/>
        <v>9</v>
      </c>
      <c r="G231">
        <f t="shared" si="116"/>
        <v>5</v>
      </c>
      <c r="H231" t="str">
        <f>IF(V231="","",IFERROR(VLOOKUP(TRIM($V231),KEY!$B$2:$E$58,3,FALSE),""))</f>
        <v>AZ</v>
      </c>
      <c r="I231" t="str">
        <f t="shared" si="117"/>
        <v>WEST-36</v>
      </c>
      <c r="J231" t="str">
        <f t="shared" si="110"/>
        <v>Feb 2025-WEST-36</v>
      </c>
      <c r="K231">
        <f t="shared" si="118"/>
        <v>36</v>
      </c>
      <c r="L231">
        <f t="shared" si="119"/>
        <v>17.3</v>
      </c>
      <c r="M231">
        <f>IF(V231="","",IFERROR(VLOOKUP(TRIM($V231),KEY!$B$2:$E$58,4,FALSE),""))</f>
        <v>30</v>
      </c>
      <c r="N231">
        <f t="shared" si="120"/>
        <v>17</v>
      </c>
      <c r="O231" t="str">
        <f t="shared" si="121"/>
        <v>LE-2</v>
      </c>
      <c r="P231">
        <f t="shared" si="122"/>
        <v>2</v>
      </c>
      <c r="Q231">
        <f t="shared" si="123"/>
        <v>1.02</v>
      </c>
      <c r="R231">
        <f t="shared" si="124"/>
        <v>2</v>
      </c>
      <c r="S231">
        <f t="shared" si="125"/>
        <v>1</v>
      </c>
      <c r="T231" t="str">
        <f>IF(V231="","",IFERROR(VLOOKUP(TRIM($V231),KEY!$B$2:$E$58,2,FALSE),""))</f>
        <v>LE</v>
      </c>
      <c r="V231" s="64" t="s">
        <v>30</v>
      </c>
      <c r="W231" s="64">
        <v>2</v>
      </c>
      <c r="X231" s="64">
        <v>0</v>
      </c>
      <c r="Y231" s="64">
        <v>0</v>
      </c>
      <c r="Z231" s="64">
        <v>0</v>
      </c>
      <c r="AA231" s="64">
        <v>0</v>
      </c>
      <c r="AB231" s="64">
        <v>0</v>
      </c>
      <c r="AC231" s="64">
        <v>0</v>
      </c>
      <c r="AD231" s="64">
        <v>0</v>
      </c>
      <c r="AE231" s="64">
        <v>0</v>
      </c>
      <c r="AF231" s="64">
        <v>0</v>
      </c>
      <c r="AG231" s="64">
        <v>0</v>
      </c>
      <c r="AH231" s="64">
        <v>2</v>
      </c>
      <c r="AI231" s="64">
        <v>1</v>
      </c>
      <c r="AJ231" s="64">
        <v>0</v>
      </c>
      <c r="AK231" s="64">
        <v>0</v>
      </c>
      <c r="AL231" s="64">
        <v>0</v>
      </c>
      <c r="AM231" s="64">
        <v>0</v>
      </c>
    </row>
    <row r="232" spans="2:39" x14ac:dyDescent="0.2">
      <c r="B232" t="str">
        <f t="shared" si="111"/>
        <v>TX-7</v>
      </c>
      <c r="C232" t="str">
        <f t="shared" si="112"/>
        <v>Nov 2024-TX-7</v>
      </c>
      <c r="D232">
        <f t="shared" si="113"/>
        <v>7</v>
      </c>
      <c r="E232">
        <f t="shared" si="114"/>
        <v>4.0599999999999996</v>
      </c>
      <c r="F232">
        <f t="shared" si="115"/>
        <v>6</v>
      </c>
      <c r="G232">
        <f t="shared" si="116"/>
        <v>4</v>
      </c>
      <c r="H232" t="str">
        <f>IF(V232="","",IFERROR(VLOOKUP(TRIM($V232),KEY!$B$2:$E$58,3,FALSE),""))</f>
        <v>TX</v>
      </c>
      <c r="I232" t="str">
        <f t="shared" si="117"/>
        <v>WEST-37</v>
      </c>
      <c r="J232" t="str">
        <f t="shared" si="110"/>
        <v>Feb 2025-WEST-37</v>
      </c>
      <c r="K232">
        <f t="shared" si="118"/>
        <v>37</v>
      </c>
      <c r="L232">
        <f t="shared" si="119"/>
        <v>17.309999999999999</v>
      </c>
      <c r="M232">
        <f>IF(V232="","",IFERROR(VLOOKUP(TRIM($V232),KEY!$B$2:$E$58,4,FALSE),""))</f>
        <v>31</v>
      </c>
      <c r="N232">
        <f t="shared" si="120"/>
        <v>17</v>
      </c>
      <c r="O232" t="str">
        <f t="shared" si="121"/>
        <v>LE-3</v>
      </c>
      <c r="P232">
        <f t="shared" si="122"/>
        <v>3</v>
      </c>
      <c r="Q232">
        <f t="shared" si="123"/>
        <v>1.03</v>
      </c>
      <c r="R232">
        <f t="shared" si="124"/>
        <v>3</v>
      </c>
      <c r="S232">
        <f t="shared" si="125"/>
        <v>1</v>
      </c>
      <c r="T232" t="str">
        <f>IF(V232="","",IFERROR(VLOOKUP(TRIM($V232),KEY!$B$2:$E$58,2,FALSE),""))</f>
        <v>LE</v>
      </c>
      <c r="V232" s="64" t="s">
        <v>31</v>
      </c>
      <c r="W232" s="64">
        <v>9</v>
      </c>
      <c r="X232" s="64">
        <v>0</v>
      </c>
      <c r="Y232" s="64">
        <v>0</v>
      </c>
      <c r="Z232" s="64">
        <v>0</v>
      </c>
      <c r="AA232" s="64">
        <v>0</v>
      </c>
      <c r="AB232" s="64">
        <v>0</v>
      </c>
      <c r="AC232" s="64">
        <v>0</v>
      </c>
      <c r="AD232" s="64">
        <v>0</v>
      </c>
      <c r="AE232" s="64">
        <v>0</v>
      </c>
      <c r="AF232" s="64">
        <v>0</v>
      </c>
      <c r="AG232" s="64">
        <v>0</v>
      </c>
      <c r="AH232" s="64">
        <v>9</v>
      </c>
      <c r="AI232" s="64">
        <v>1</v>
      </c>
      <c r="AJ232" s="64">
        <v>0</v>
      </c>
      <c r="AK232" s="64">
        <v>0</v>
      </c>
      <c r="AL232" s="64">
        <v>0</v>
      </c>
      <c r="AM232" s="64">
        <v>0</v>
      </c>
    </row>
    <row r="233" spans="2:39" x14ac:dyDescent="0.2">
      <c r="B233" t="str">
        <f t="shared" si="111"/>
        <v>SoCal-9</v>
      </c>
      <c r="C233" t="str">
        <f t="shared" si="112"/>
        <v>Nov 2024-SoCal-9</v>
      </c>
      <c r="D233">
        <f t="shared" si="113"/>
        <v>9</v>
      </c>
      <c r="E233">
        <f t="shared" si="114"/>
        <v>5.08</v>
      </c>
      <c r="F233">
        <f t="shared" si="115"/>
        <v>8</v>
      </c>
      <c r="G233">
        <f t="shared" si="116"/>
        <v>5</v>
      </c>
      <c r="H233" t="str">
        <f>IF(V233="","",IFERROR(VLOOKUP(TRIM($V233),KEY!$B$2:$E$58,3,FALSE),""))</f>
        <v>SoCal</v>
      </c>
      <c r="I233" t="str">
        <f t="shared" si="117"/>
        <v>WEST-38</v>
      </c>
      <c r="J233" t="str">
        <f t="shared" si="110"/>
        <v>Feb 2025-WEST-38</v>
      </c>
      <c r="K233">
        <f t="shared" si="118"/>
        <v>38</v>
      </c>
      <c r="L233">
        <f t="shared" si="119"/>
        <v>17.32</v>
      </c>
      <c r="M233">
        <f>IF(V233="","",IFERROR(VLOOKUP(TRIM($V233),KEY!$B$2:$E$58,4,FALSE),""))</f>
        <v>32</v>
      </c>
      <c r="N233">
        <f t="shared" si="120"/>
        <v>17</v>
      </c>
      <c r="O233" t="str">
        <f t="shared" si="121"/>
        <v>LE-4</v>
      </c>
      <c r="P233">
        <f t="shared" si="122"/>
        <v>4</v>
      </c>
      <c r="Q233">
        <f t="shared" si="123"/>
        <v>1.04</v>
      </c>
      <c r="R233">
        <f t="shared" si="124"/>
        <v>4</v>
      </c>
      <c r="S233">
        <f t="shared" si="125"/>
        <v>1</v>
      </c>
      <c r="T233" t="str">
        <f>IF(V233="","",IFERROR(VLOOKUP(TRIM($V233),KEY!$B$2:$E$58,2,FALSE),""))</f>
        <v>LE</v>
      </c>
      <c r="V233" s="64" t="s">
        <v>32</v>
      </c>
      <c r="W233" s="64">
        <v>21</v>
      </c>
      <c r="X233" s="64">
        <v>0</v>
      </c>
      <c r="Y233" s="64">
        <v>0</v>
      </c>
      <c r="Z233" s="64">
        <v>0</v>
      </c>
      <c r="AA233" s="64">
        <v>0</v>
      </c>
      <c r="AB233" s="64">
        <v>0</v>
      </c>
      <c r="AC233" s="64">
        <v>0</v>
      </c>
      <c r="AD233" s="64">
        <v>0</v>
      </c>
      <c r="AE233" s="64">
        <v>0</v>
      </c>
      <c r="AF233" s="64">
        <v>0</v>
      </c>
      <c r="AG233" s="64">
        <v>0</v>
      </c>
      <c r="AH233" s="64">
        <v>21</v>
      </c>
      <c r="AI233" s="64">
        <v>1</v>
      </c>
      <c r="AJ233" s="64">
        <v>0</v>
      </c>
      <c r="AK233" s="64">
        <v>0</v>
      </c>
      <c r="AL233" s="64">
        <v>0</v>
      </c>
      <c r="AM233" s="64">
        <v>0</v>
      </c>
    </row>
    <row r="234" spans="2:39" x14ac:dyDescent="0.2">
      <c r="B234" t="str">
        <f t="shared" si="111"/>
        <v>OC-8</v>
      </c>
      <c r="C234" t="str">
        <f t="shared" si="112"/>
        <v>Nov 2024-OC-8</v>
      </c>
      <c r="D234">
        <f t="shared" si="113"/>
        <v>8</v>
      </c>
      <c r="E234">
        <f t="shared" si="114"/>
        <v>5.0599999999999996</v>
      </c>
      <c r="F234">
        <f t="shared" si="115"/>
        <v>6</v>
      </c>
      <c r="G234">
        <f t="shared" si="116"/>
        <v>5</v>
      </c>
      <c r="H234" t="str">
        <f>IF(V234="","",IFERROR(VLOOKUP(TRIM($V234),KEY!$B$2:$E$58,3,FALSE),""))</f>
        <v>OC</v>
      </c>
      <c r="I234" t="str">
        <f t="shared" si="117"/>
        <v>WEST-39</v>
      </c>
      <c r="J234" t="str">
        <f t="shared" ref="J234:J258" si="126">IF(V234="","",$Z$1&amp;"-"&amp;I234)</f>
        <v>Feb 2025-WEST-39</v>
      </c>
      <c r="K234">
        <f t="shared" si="118"/>
        <v>39</v>
      </c>
      <c r="L234">
        <f t="shared" si="119"/>
        <v>17.329999999999998</v>
      </c>
      <c r="M234">
        <f>IF(V234="","",IFERROR(VLOOKUP(TRIM($V234),KEY!$B$2:$E$58,4,FALSE),""))</f>
        <v>33</v>
      </c>
      <c r="N234">
        <f t="shared" si="120"/>
        <v>17</v>
      </c>
      <c r="O234" t="str">
        <f t="shared" si="121"/>
        <v>LI-1</v>
      </c>
      <c r="P234">
        <f t="shared" si="122"/>
        <v>1</v>
      </c>
      <c r="Q234">
        <f t="shared" si="123"/>
        <v>1.01</v>
      </c>
      <c r="R234">
        <f t="shared" si="124"/>
        <v>1</v>
      </c>
      <c r="S234">
        <f t="shared" si="125"/>
        <v>1</v>
      </c>
      <c r="T234" t="str">
        <f>IF(V234="","",IFERROR(VLOOKUP(TRIM($V234),KEY!$B$2:$E$58,2,FALSE),""))</f>
        <v>LI</v>
      </c>
      <c r="V234" s="64" t="s">
        <v>33</v>
      </c>
      <c r="W234" s="64">
        <v>3</v>
      </c>
      <c r="X234" s="64">
        <v>0</v>
      </c>
      <c r="Y234" s="64">
        <v>0</v>
      </c>
      <c r="Z234" s="64">
        <v>0</v>
      </c>
      <c r="AA234" s="64">
        <v>0</v>
      </c>
      <c r="AB234" s="64">
        <v>0</v>
      </c>
      <c r="AC234" s="64">
        <v>0</v>
      </c>
      <c r="AD234" s="64">
        <v>0</v>
      </c>
      <c r="AE234" s="64">
        <v>0</v>
      </c>
      <c r="AF234" s="64">
        <v>3</v>
      </c>
      <c r="AG234" s="64">
        <v>0</v>
      </c>
      <c r="AH234" s="64">
        <v>0</v>
      </c>
      <c r="AI234" s="64">
        <v>1</v>
      </c>
      <c r="AJ234" s="64">
        <v>0</v>
      </c>
      <c r="AK234" s="64">
        <v>0</v>
      </c>
      <c r="AL234" s="64">
        <v>0</v>
      </c>
      <c r="AM234" s="64">
        <v>0</v>
      </c>
    </row>
    <row r="235" spans="2:39" x14ac:dyDescent="0.2">
      <c r="B235" t="str">
        <f t="shared" si="111"/>
        <v>SoCal-10</v>
      </c>
      <c r="C235" t="str">
        <f t="shared" si="112"/>
        <v>Nov 2024-SoCal-10</v>
      </c>
      <c r="D235">
        <f t="shared" si="113"/>
        <v>10</v>
      </c>
      <c r="E235">
        <f t="shared" si="114"/>
        <v>5.09</v>
      </c>
      <c r="F235">
        <f t="shared" si="115"/>
        <v>9</v>
      </c>
      <c r="G235">
        <f t="shared" si="116"/>
        <v>5</v>
      </c>
      <c r="H235" t="str">
        <f>IF(V235="","",IFERROR(VLOOKUP(TRIM($V235),KEY!$B$2:$E$58,3,FALSE),""))</f>
        <v>SoCal</v>
      </c>
      <c r="I235" t="str">
        <f t="shared" si="117"/>
        <v>WEST-40</v>
      </c>
      <c r="J235" t="str">
        <f t="shared" si="126"/>
        <v>Feb 2025-WEST-40</v>
      </c>
      <c r="K235">
        <f t="shared" si="118"/>
        <v>40</v>
      </c>
      <c r="L235">
        <f t="shared" si="119"/>
        <v>17.34</v>
      </c>
      <c r="M235">
        <f>IF(V235="","",IFERROR(VLOOKUP(TRIM($V235),KEY!$B$2:$E$58,4,FALSE),""))</f>
        <v>34</v>
      </c>
      <c r="N235">
        <f t="shared" si="120"/>
        <v>17</v>
      </c>
      <c r="O235" t="str">
        <f t="shared" si="121"/>
        <v>MA-1</v>
      </c>
      <c r="P235">
        <f t="shared" si="122"/>
        <v>1</v>
      </c>
      <c r="Q235">
        <f t="shared" si="123"/>
        <v>1.01</v>
      </c>
      <c r="R235">
        <f t="shared" si="124"/>
        <v>1</v>
      </c>
      <c r="S235">
        <f t="shared" si="125"/>
        <v>1</v>
      </c>
      <c r="T235" t="str">
        <f>IF(V235="","",IFERROR(VLOOKUP(TRIM($V235),KEY!$B$2:$E$58,2,FALSE),""))</f>
        <v>MA</v>
      </c>
      <c r="V235" s="64" t="s">
        <v>34</v>
      </c>
      <c r="W235" s="64">
        <v>15</v>
      </c>
      <c r="X235" s="64">
        <v>0</v>
      </c>
      <c r="Y235" s="64">
        <v>0</v>
      </c>
      <c r="Z235" s="64">
        <v>0</v>
      </c>
      <c r="AA235" s="64">
        <v>0</v>
      </c>
      <c r="AB235" s="64">
        <v>0</v>
      </c>
      <c r="AC235" s="64">
        <v>0</v>
      </c>
      <c r="AD235" s="64">
        <v>0</v>
      </c>
      <c r="AE235" s="64">
        <v>0</v>
      </c>
      <c r="AF235" s="64">
        <v>0</v>
      </c>
      <c r="AG235" s="64">
        <v>0</v>
      </c>
      <c r="AH235" s="64">
        <v>15</v>
      </c>
      <c r="AI235" s="64">
        <v>1</v>
      </c>
      <c r="AJ235" s="64">
        <v>0</v>
      </c>
      <c r="AK235" s="64">
        <v>0</v>
      </c>
      <c r="AL235" s="64">
        <v>0</v>
      </c>
      <c r="AM235" s="64">
        <v>0</v>
      </c>
    </row>
    <row r="236" spans="2:39" x14ac:dyDescent="0.2">
      <c r="B236" t="str">
        <f t="shared" si="111"/>
        <v>AZ-3</v>
      </c>
      <c r="C236" t="str">
        <f t="shared" si="112"/>
        <v>Nov 2024-AZ-3</v>
      </c>
      <c r="D236">
        <f t="shared" si="113"/>
        <v>3</v>
      </c>
      <c r="E236">
        <f t="shared" si="114"/>
        <v>2.1</v>
      </c>
      <c r="F236">
        <f t="shared" si="115"/>
        <v>10</v>
      </c>
      <c r="G236">
        <f t="shared" si="116"/>
        <v>2</v>
      </c>
      <c r="H236" t="str">
        <f>IF(V236="","",IFERROR(VLOOKUP(TRIM($V236),KEY!$B$2:$E$58,3,FALSE),""))</f>
        <v>AZ</v>
      </c>
      <c r="I236" t="str">
        <f t="shared" si="117"/>
        <v>WEST-7</v>
      </c>
      <c r="J236" t="str">
        <f t="shared" si="126"/>
        <v>Feb 2025-WEST-7</v>
      </c>
      <c r="K236">
        <f t="shared" si="118"/>
        <v>7</v>
      </c>
      <c r="L236">
        <f t="shared" si="119"/>
        <v>6.35</v>
      </c>
      <c r="M236">
        <f>IF(V236="","",IFERROR(VLOOKUP(TRIM($V236),KEY!$B$2:$E$58,4,FALSE),""))</f>
        <v>35</v>
      </c>
      <c r="N236">
        <f t="shared" si="120"/>
        <v>6</v>
      </c>
      <c r="O236" t="str">
        <f t="shared" si="121"/>
        <v>MB-1</v>
      </c>
      <c r="P236">
        <f t="shared" si="122"/>
        <v>1</v>
      </c>
      <c r="Q236">
        <f t="shared" si="123"/>
        <v>1.01</v>
      </c>
      <c r="R236">
        <f t="shared" si="124"/>
        <v>1</v>
      </c>
      <c r="S236">
        <f t="shared" si="125"/>
        <v>1</v>
      </c>
      <c r="T236" t="str">
        <f>IF(V236="","",IFERROR(VLOOKUP(TRIM($V236),KEY!$B$2:$E$58,2,FALSE),""))</f>
        <v>MB</v>
      </c>
      <c r="V236" s="64" t="s">
        <v>35</v>
      </c>
      <c r="W236" s="64">
        <v>6</v>
      </c>
      <c r="X236" s="64">
        <v>1</v>
      </c>
      <c r="Y236" s="64">
        <v>0.16666666666666666</v>
      </c>
      <c r="Z236" s="64">
        <v>1</v>
      </c>
      <c r="AA236" s="64">
        <v>1</v>
      </c>
      <c r="AB236" s="64">
        <v>0</v>
      </c>
      <c r="AC236" s="64">
        <v>0</v>
      </c>
      <c r="AD236" s="64">
        <v>2</v>
      </c>
      <c r="AE236" s="64">
        <v>0.33333333333333331</v>
      </c>
      <c r="AF236" s="64">
        <v>4</v>
      </c>
      <c r="AG236" s="64">
        <v>0</v>
      </c>
      <c r="AH236" s="64">
        <v>0</v>
      </c>
      <c r="AI236" s="64">
        <v>0.66666666666666663</v>
      </c>
      <c r="AJ236" s="64">
        <v>0</v>
      </c>
      <c r="AK236" s="64">
        <v>0</v>
      </c>
      <c r="AL236" s="64">
        <v>0</v>
      </c>
      <c r="AM236" s="64">
        <v>0</v>
      </c>
    </row>
    <row r="237" spans="2:39" x14ac:dyDescent="0.2">
      <c r="B237" t="str">
        <f t="shared" si="111"/>
        <v>AZ-13</v>
      </c>
      <c r="C237" t="str">
        <f t="shared" si="112"/>
        <v>Nov 2024-AZ-13</v>
      </c>
      <c r="D237">
        <f t="shared" si="113"/>
        <v>13</v>
      </c>
      <c r="E237">
        <f t="shared" si="114"/>
        <v>5.1100000000000003</v>
      </c>
      <c r="F237">
        <f t="shared" si="115"/>
        <v>11</v>
      </c>
      <c r="G237">
        <f t="shared" si="116"/>
        <v>5</v>
      </c>
      <c r="H237" t="str">
        <f>IF(V237="","",IFERROR(VLOOKUP(TRIM($V237),KEY!$B$2:$E$58,3,FALSE),""))</f>
        <v>AZ</v>
      </c>
      <c r="I237" t="str">
        <f t="shared" si="117"/>
        <v>WEST-41</v>
      </c>
      <c r="J237" t="str">
        <f t="shared" si="126"/>
        <v>Feb 2025-WEST-41</v>
      </c>
      <c r="K237">
        <f t="shared" si="118"/>
        <v>41</v>
      </c>
      <c r="L237">
        <f t="shared" si="119"/>
        <v>17.36</v>
      </c>
      <c r="M237">
        <f>IF(V237="","",IFERROR(VLOOKUP(TRIM($V237),KEY!$B$2:$E$58,4,FALSE),""))</f>
        <v>36</v>
      </c>
      <c r="N237">
        <f t="shared" si="120"/>
        <v>17</v>
      </c>
      <c r="O237" t="str">
        <f t="shared" si="121"/>
        <v>MB-3</v>
      </c>
      <c r="P237">
        <f t="shared" si="122"/>
        <v>3</v>
      </c>
      <c r="Q237">
        <f t="shared" si="123"/>
        <v>3.02</v>
      </c>
      <c r="R237">
        <f t="shared" si="124"/>
        <v>2</v>
      </c>
      <c r="S237">
        <f t="shared" si="125"/>
        <v>3</v>
      </c>
      <c r="T237" t="str">
        <f>IF(V237="","",IFERROR(VLOOKUP(TRIM($V237),KEY!$B$2:$E$58,2,FALSE),""))</f>
        <v>MB</v>
      </c>
      <c r="V237" s="64" t="s">
        <v>270</v>
      </c>
      <c r="W237" s="64">
        <v>14</v>
      </c>
      <c r="X237" s="64">
        <v>0</v>
      </c>
      <c r="Y237" s="64">
        <v>0</v>
      </c>
      <c r="Z237" s="64">
        <v>0</v>
      </c>
      <c r="AA237" s="64">
        <v>0</v>
      </c>
      <c r="AB237" s="64">
        <v>0</v>
      </c>
      <c r="AC237" s="64">
        <v>0</v>
      </c>
      <c r="AD237" s="64">
        <v>0</v>
      </c>
      <c r="AE237" s="64">
        <v>0</v>
      </c>
      <c r="AF237" s="64">
        <v>0</v>
      </c>
      <c r="AG237" s="64">
        <v>0</v>
      </c>
      <c r="AH237" s="64">
        <v>14</v>
      </c>
      <c r="AI237" s="64">
        <v>1</v>
      </c>
      <c r="AJ237" s="64">
        <v>0</v>
      </c>
      <c r="AK237" s="64">
        <v>0</v>
      </c>
      <c r="AL237" s="64">
        <v>0</v>
      </c>
      <c r="AM237" s="64">
        <v>0</v>
      </c>
    </row>
    <row r="238" spans="2:39" x14ac:dyDescent="0.2">
      <c r="B238" t="str">
        <f t="shared" si="111"/>
        <v>SoCal-3</v>
      </c>
      <c r="C238" t="str">
        <f t="shared" si="112"/>
        <v>Nov 2024-SoCal-3</v>
      </c>
      <c r="D238">
        <f t="shared" si="113"/>
        <v>3</v>
      </c>
      <c r="E238">
        <f t="shared" si="114"/>
        <v>3.1</v>
      </c>
      <c r="F238">
        <f t="shared" si="115"/>
        <v>10</v>
      </c>
      <c r="G238">
        <f t="shared" si="116"/>
        <v>3</v>
      </c>
      <c r="H238" t="str">
        <f>IF(V238="","",IFERROR(VLOOKUP(TRIM($V238),KEY!$B$2:$E$58,3,FALSE),""))</f>
        <v>SoCal</v>
      </c>
      <c r="I238" t="str">
        <f t="shared" si="117"/>
        <v>WEST-12</v>
      </c>
      <c r="J238" t="str">
        <f t="shared" si="126"/>
        <v>Feb 2025-WEST-12</v>
      </c>
      <c r="K238">
        <f t="shared" si="118"/>
        <v>12</v>
      </c>
      <c r="L238">
        <f t="shared" si="119"/>
        <v>12.37</v>
      </c>
      <c r="M238">
        <f>IF(V238="","",IFERROR(VLOOKUP(TRIM($V238),KEY!$B$2:$E$58,4,FALSE),""))</f>
        <v>37</v>
      </c>
      <c r="N238">
        <f t="shared" si="120"/>
        <v>12</v>
      </c>
      <c r="O238" t="str">
        <f t="shared" si="121"/>
        <v>MB-2</v>
      </c>
      <c r="P238">
        <f t="shared" si="122"/>
        <v>2</v>
      </c>
      <c r="Q238">
        <f t="shared" si="123"/>
        <v>2.0299999999999998</v>
      </c>
      <c r="R238">
        <f t="shared" si="124"/>
        <v>3</v>
      </c>
      <c r="S238">
        <f t="shared" si="125"/>
        <v>2</v>
      </c>
      <c r="T238" t="str">
        <f>IF(V238="","",IFERROR(VLOOKUP(TRIM($V238),KEY!$B$2:$E$58,2,FALSE),""))</f>
        <v>MB</v>
      </c>
      <c r="V238" s="64" t="s">
        <v>36</v>
      </c>
      <c r="W238" s="64">
        <v>32</v>
      </c>
      <c r="X238" s="64">
        <v>3</v>
      </c>
      <c r="Y238" s="64">
        <v>9.375E-2</v>
      </c>
      <c r="Z238" s="64">
        <v>0</v>
      </c>
      <c r="AA238" s="64">
        <v>3</v>
      </c>
      <c r="AB238" s="64">
        <v>0</v>
      </c>
      <c r="AC238" s="64">
        <v>0</v>
      </c>
      <c r="AD238" s="64">
        <v>3</v>
      </c>
      <c r="AE238" s="64">
        <v>9.375E-2</v>
      </c>
      <c r="AF238" s="64">
        <v>2</v>
      </c>
      <c r="AG238" s="64">
        <v>0</v>
      </c>
      <c r="AH238" s="64">
        <v>27</v>
      </c>
      <c r="AI238" s="64">
        <v>0.90625</v>
      </c>
      <c r="AJ238" s="64">
        <v>0</v>
      </c>
      <c r="AK238" s="64">
        <v>0</v>
      </c>
      <c r="AL238" s="64">
        <v>0</v>
      </c>
      <c r="AM238" s="64">
        <v>0</v>
      </c>
    </row>
    <row r="239" spans="2:39" x14ac:dyDescent="0.2">
      <c r="B239" t="str">
        <f t="shared" si="111"/>
        <v>AZ-14</v>
      </c>
      <c r="C239" t="str">
        <f t="shared" si="112"/>
        <v>Nov 2024-AZ-14</v>
      </c>
      <c r="D239">
        <f t="shared" si="113"/>
        <v>14</v>
      </c>
      <c r="E239">
        <f t="shared" si="114"/>
        <v>5.12</v>
      </c>
      <c r="F239">
        <f t="shared" si="115"/>
        <v>12</v>
      </c>
      <c r="G239">
        <f t="shared" si="116"/>
        <v>5</v>
      </c>
      <c r="H239" t="str">
        <f>IF(V239="","",IFERROR(VLOOKUP(TRIM($V239),KEY!$B$2:$E$58,3,FALSE),""))</f>
        <v>AZ</v>
      </c>
      <c r="I239" t="str">
        <f t="shared" si="117"/>
        <v>WEST-42</v>
      </c>
      <c r="J239" t="str">
        <f t="shared" si="126"/>
        <v>Feb 2025-WEST-42</v>
      </c>
      <c r="K239">
        <f t="shared" si="118"/>
        <v>42</v>
      </c>
      <c r="L239">
        <f t="shared" si="119"/>
        <v>17.38</v>
      </c>
      <c r="M239">
        <f>IF(V239="","",IFERROR(VLOOKUP(TRIM($V239),KEY!$B$2:$E$58,4,FALSE),""))</f>
        <v>38</v>
      </c>
      <c r="N239">
        <f t="shared" si="120"/>
        <v>17</v>
      </c>
      <c r="O239" t="str">
        <f t="shared" si="121"/>
        <v>MI-4</v>
      </c>
      <c r="P239">
        <f t="shared" si="122"/>
        <v>4</v>
      </c>
      <c r="Q239">
        <f t="shared" si="123"/>
        <v>3.02</v>
      </c>
      <c r="R239">
        <f t="shared" si="124"/>
        <v>2</v>
      </c>
      <c r="S239">
        <f t="shared" si="125"/>
        <v>3</v>
      </c>
      <c r="T239" t="str">
        <f>IF(V239="","",IFERROR(VLOOKUP(TRIM($V239),KEY!$B$2:$E$58,2,FALSE),""))</f>
        <v>MI</v>
      </c>
      <c r="V239" s="64" t="s">
        <v>38</v>
      </c>
      <c r="W239" s="64">
        <v>6</v>
      </c>
      <c r="X239" s="64">
        <v>0</v>
      </c>
      <c r="Y239" s="64">
        <v>0</v>
      </c>
      <c r="Z239" s="64">
        <v>0</v>
      </c>
      <c r="AA239" s="64">
        <v>0</v>
      </c>
      <c r="AB239" s="64">
        <v>0</v>
      </c>
      <c r="AC239" s="64">
        <v>0</v>
      </c>
      <c r="AD239" s="64">
        <v>0</v>
      </c>
      <c r="AE239" s="64">
        <v>0</v>
      </c>
      <c r="AF239" s="64">
        <v>0</v>
      </c>
      <c r="AG239" s="64">
        <v>0</v>
      </c>
      <c r="AH239" s="64">
        <v>6</v>
      </c>
      <c r="AI239" s="64">
        <v>1</v>
      </c>
      <c r="AJ239" s="64">
        <v>0</v>
      </c>
      <c r="AK239" s="64">
        <v>0</v>
      </c>
      <c r="AL239" s="64">
        <v>0</v>
      </c>
      <c r="AM239" s="64">
        <v>0</v>
      </c>
    </row>
    <row r="240" spans="2:39" x14ac:dyDescent="0.2">
      <c r="B240" t="str">
        <f t="shared" si="111"/>
        <v>TX-8</v>
      </c>
      <c r="C240" t="str">
        <f t="shared" si="112"/>
        <v>Nov 2024-TX-8</v>
      </c>
      <c r="D240">
        <f t="shared" si="113"/>
        <v>8</v>
      </c>
      <c r="E240">
        <f t="shared" si="114"/>
        <v>4.07</v>
      </c>
      <c r="F240">
        <f t="shared" si="115"/>
        <v>7</v>
      </c>
      <c r="G240">
        <f t="shared" si="116"/>
        <v>4</v>
      </c>
      <c r="H240" t="str">
        <f>IF(V240="","",IFERROR(VLOOKUP(TRIM($V240),KEY!$B$2:$E$58,3,FALSE),""))</f>
        <v>TX</v>
      </c>
      <c r="I240" t="str">
        <f t="shared" si="117"/>
        <v>WEST-43</v>
      </c>
      <c r="J240" t="str">
        <f t="shared" si="126"/>
        <v>Feb 2025-WEST-43</v>
      </c>
      <c r="K240">
        <f t="shared" si="118"/>
        <v>43</v>
      </c>
      <c r="L240">
        <f t="shared" si="119"/>
        <v>17.39</v>
      </c>
      <c r="M240">
        <f>IF(V240="","",IFERROR(VLOOKUP(TRIM($V240),KEY!$B$2:$E$58,4,FALSE),""))</f>
        <v>39</v>
      </c>
      <c r="N240">
        <f t="shared" si="120"/>
        <v>17</v>
      </c>
      <c r="O240" t="str">
        <f t="shared" si="121"/>
        <v>MI-5</v>
      </c>
      <c r="P240">
        <f t="shared" si="122"/>
        <v>5</v>
      </c>
      <c r="Q240">
        <f t="shared" si="123"/>
        <v>3.03</v>
      </c>
      <c r="R240">
        <f t="shared" si="124"/>
        <v>3</v>
      </c>
      <c r="S240">
        <f t="shared" si="125"/>
        <v>3</v>
      </c>
      <c r="T240" t="str">
        <f>IF(V240="","",IFERROR(VLOOKUP(TRIM($V240),KEY!$B$2:$E$58,2,FALSE),""))</f>
        <v>MI</v>
      </c>
      <c r="V240" s="64" t="s">
        <v>39</v>
      </c>
      <c r="W240" s="64">
        <v>5</v>
      </c>
      <c r="X240" s="64">
        <v>0</v>
      </c>
      <c r="Y240" s="64">
        <v>0</v>
      </c>
      <c r="Z240" s="64">
        <v>0</v>
      </c>
      <c r="AA240" s="64">
        <v>0</v>
      </c>
      <c r="AB240" s="64">
        <v>0</v>
      </c>
      <c r="AC240" s="64">
        <v>0</v>
      </c>
      <c r="AD240" s="64">
        <v>0</v>
      </c>
      <c r="AE240" s="64">
        <v>0</v>
      </c>
      <c r="AF240" s="64">
        <v>0</v>
      </c>
      <c r="AG240" s="64">
        <v>0</v>
      </c>
      <c r="AH240" s="64">
        <v>5</v>
      </c>
      <c r="AI240" s="64">
        <v>1</v>
      </c>
      <c r="AJ240" s="64">
        <v>0</v>
      </c>
      <c r="AK240" s="64">
        <v>0</v>
      </c>
      <c r="AL240" s="64">
        <v>0</v>
      </c>
      <c r="AM240" s="64">
        <v>0</v>
      </c>
    </row>
    <row r="241" spans="2:39" x14ac:dyDescent="0.2">
      <c r="B241" t="str">
        <f t="shared" si="111"/>
        <v>NorCal-6</v>
      </c>
      <c r="C241" t="str">
        <f t="shared" si="112"/>
        <v>Nov 2024-NorCal-6</v>
      </c>
      <c r="D241">
        <f t="shared" si="113"/>
        <v>6</v>
      </c>
      <c r="E241">
        <f t="shared" si="114"/>
        <v>2.0499999999999998</v>
      </c>
      <c r="F241">
        <f t="shared" si="115"/>
        <v>5</v>
      </c>
      <c r="G241">
        <f t="shared" si="116"/>
        <v>2</v>
      </c>
      <c r="H241" t="str">
        <f>IF(V241="","",IFERROR(VLOOKUP(TRIM($V241),KEY!$B$2:$E$58,3,FALSE),""))</f>
        <v>NorCal</v>
      </c>
      <c r="I241" t="str">
        <f t="shared" si="117"/>
        <v>WEST-44</v>
      </c>
      <c r="J241" t="str">
        <f t="shared" si="126"/>
        <v>Feb 2025-WEST-44</v>
      </c>
      <c r="K241">
        <f t="shared" si="118"/>
        <v>44</v>
      </c>
      <c r="L241">
        <f t="shared" si="119"/>
        <v>17.399999999999999</v>
      </c>
      <c r="M241">
        <f>IF(V241="","",IFERROR(VLOOKUP(TRIM($V241),KEY!$B$2:$E$58,4,FALSE),""))</f>
        <v>40</v>
      </c>
      <c r="N241">
        <f t="shared" si="120"/>
        <v>17</v>
      </c>
      <c r="O241" t="str">
        <f t="shared" si="121"/>
        <v>MI-6</v>
      </c>
      <c r="P241">
        <f t="shared" si="122"/>
        <v>6</v>
      </c>
      <c r="Q241">
        <f t="shared" si="123"/>
        <v>3.04</v>
      </c>
      <c r="R241">
        <f t="shared" si="124"/>
        <v>4</v>
      </c>
      <c r="S241">
        <f t="shared" si="125"/>
        <v>3</v>
      </c>
      <c r="T241" t="str">
        <f>IF(V241="","",IFERROR(VLOOKUP(TRIM($V241),KEY!$B$2:$E$58,2,FALSE),""))</f>
        <v>MI</v>
      </c>
      <c r="V241" s="64" t="s">
        <v>40</v>
      </c>
      <c r="W241" s="64">
        <v>5</v>
      </c>
      <c r="X241" s="64">
        <v>0</v>
      </c>
      <c r="Y241" s="64">
        <v>0</v>
      </c>
      <c r="Z241" s="64">
        <v>0</v>
      </c>
      <c r="AA241" s="64">
        <v>0</v>
      </c>
      <c r="AB241" s="64">
        <v>0</v>
      </c>
      <c r="AC241" s="64">
        <v>1</v>
      </c>
      <c r="AD241" s="64">
        <v>1</v>
      </c>
      <c r="AE241" s="64">
        <v>0.2</v>
      </c>
      <c r="AF241" s="64">
        <v>1</v>
      </c>
      <c r="AG241" s="64">
        <v>0</v>
      </c>
      <c r="AH241" s="64">
        <v>0</v>
      </c>
      <c r="AI241" s="64">
        <v>0.2</v>
      </c>
      <c r="AJ241" s="64">
        <v>2</v>
      </c>
      <c r="AK241" s="64">
        <v>1</v>
      </c>
      <c r="AL241" s="64">
        <v>0</v>
      </c>
      <c r="AM241" s="64">
        <v>0.6</v>
      </c>
    </row>
    <row r="242" spans="2:39" x14ac:dyDescent="0.2">
      <c r="B242" t="str">
        <f t="shared" si="111"/>
        <v>OC-2</v>
      </c>
      <c r="C242" t="str">
        <f t="shared" si="112"/>
        <v>Nov 2024-OC-2</v>
      </c>
      <c r="D242">
        <f t="shared" si="113"/>
        <v>2</v>
      </c>
      <c r="E242">
        <f t="shared" si="114"/>
        <v>1.07</v>
      </c>
      <c r="F242">
        <f t="shared" si="115"/>
        <v>7</v>
      </c>
      <c r="G242">
        <f t="shared" si="116"/>
        <v>1</v>
      </c>
      <c r="H242" t="str">
        <f>IF(V242="","",IFERROR(VLOOKUP(TRIM($V242),KEY!$B$2:$E$58,3,FALSE),""))</f>
        <v>OC</v>
      </c>
      <c r="I242" t="str">
        <f t="shared" si="117"/>
        <v>WEST--</v>
      </c>
      <c r="J242" t="str">
        <f t="shared" si="126"/>
        <v>Feb 2025-WEST--</v>
      </c>
      <c r="K242" t="str">
        <f t="shared" si="118"/>
        <v>-</v>
      </c>
      <c r="L242" t="str">
        <f t="shared" si="119"/>
        <v>-</v>
      </c>
      <c r="M242">
        <f>IF(V242="","",IFERROR(VLOOKUP(TRIM($V242),KEY!$B$2:$E$58,4,FALSE),""))</f>
        <v>41</v>
      </c>
      <c r="N242" t="str">
        <f t="shared" si="120"/>
        <v>-</v>
      </c>
      <c r="O242" t="str">
        <f t="shared" si="121"/>
        <v>MI-1</v>
      </c>
      <c r="P242">
        <f t="shared" si="122"/>
        <v>1</v>
      </c>
      <c r="Q242">
        <f t="shared" si="123"/>
        <v>1.05</v>
      </c>
      <c r="R242">
        <f t="shared" si="124"/>
        <v>5</v>
      </c>
      <c r="S242">
        <f t="shared" si="125"/>
        <v>1</v>
      </c>
      <c r="T242" t="str">
        <f>IF(V242="","",IFERROR(VLOOKUP(TRIM($V242),KEY!$B$2:$E$58,2,FALSE),""))</f>
        <v>MI</v>
      </c>
      <c r="V242" s="64" t="s">
        <v>41</v>
      </c>
      <c r="W242" s="64">
        <v>0</v>
      </c>
      <c r="X242" s="64">
        <v>0</v>
      </c>
      <c r="Y242" s="64" t="s">
        <v>274</v>
      </c>
      <c r="Z242" s="64">
        <v>0</v>
      </c>
      <c r="AA242" s="64">
        <v>0</v>
      </c>
      <c r="AB242" s="64">
        <v>0</v>
      </c>
      <c r="AC242" s="64">
        <v>0</v>
      </c>
      <c r="AD242" s="64">
        <v>0</v>
      </c>
      <c r="AE242" s="64" t="s">
        <v>274</v>
      </c>
      <c r="AF242" s="64">
        <v>0</v>
      </c>
      <c r="AG242" s="64">
        <v>0</v>
      </c>
      <c r="AH242" s="64">
        <v>0</v>
      </c>
      <c r="AI242" s="64" t="s">
        <v>274</v>
      </c>
      <c r="AJ242" s="64">
        <v>0</v>
      </c>
      <c r="AK242" s="64">
        <v>0</v>
      </c>
      <c r="AL242" s="64">
        <v>0</v>
      </c>
      <c r="AM242" s="64" t="s">
        <v>274</v>
      </c>
    </row>
    <row r="243" spans="2:39" x14ac:dyDescent="0.2">
      <c r="B243" t="str">
        <f t="shared" si="111"/>
        <v>SoCal-11</v>
      </c>
      <c r="C243" t="str">
        <f t="shared" si="112"/>
        <v>Nov 2024-SoCal-11</v>
      </c>
      <c r="D243">
        <f t="shared" si="113"/>
        <v>11</v>
      </c>
      <c r="E243">
        <f t="shared" si="114"/>
        <v>5.1100000000000003</v>
      </c>
      <c r="F243">
        <f t="shared" si="115"/>
        <v>11</v>
      </c>
      <c r="G243">
        <f t="shared" si="116"/>
        <v>5</v>
      </c>
      <c r="H243" t="str">
        <f>IF(V243="","",IFERROR(VLOOKUP(TRIM($V243),KEY!$B$2:$E$58,3,FALSE),""))</f>
        <v>SoCal</v>
      </c>
      <c r="I243" t="str">
        <f t="shared" si="117"/>
        <v>WEST-45</v>
      </c>
      <c r="J243" t="str">
        <f t="shared" si="126"/>
        <v>Feb 2025-WEST-45</v>
      </c>
      <c r="K243">
        <f t="shared" si="118"/>
        <v>45</v>
      </c>
      <c r="L243">
        <f t="shared" si="119"/>
        <v>17.420000000000002</v>
      </c>
      <c r="M243">
        <f>IF(V243="","",IFERROR(VLOOKUP(TRIM($V243),KEY!$B$2:$E$58,4,FALSE),""))</f>
        <v>42</v>
      </c>
      <c r="N243">
        <f t="shared" si="120"/>
        <v>17</v>
      </c>
      <c r="O243" t="str">
        <f t="shared" si="121"/>
        <v>MI-7</v>
      </c>
      <c r="P243">
        <f t="shared" si="122"/>
        <v>7</v>
      </c>
      <c r="Q243">
        <f t="shared" si="123"/>
        <v>3.06</v>
      </c>
      <c r="R243">
        <f t="shared" si="124"/>
        <v>6</v>
      </c>
      <c r="S243">
        <f t="shared" si="125"/>
        <v>3</v>
      </c>
      <c r="T243" t="str">
        <f>IF(V243="","",IFERROR(VLOOKUP(TRIM($V243),KEY!$B$2:$E$58,2,FALSE),""))</f>
        <v>MI</v>
      </c>
      <c r="V243" s="64" t="s">
        <v>42</v>
      </c>
      <c r="W243" s="64">
        <v>4</v>
      </c>
      <c r="X243" s="64">
        <v>0</v>
      </c>
      <c r="Y243" s="64">
        <v>0</v>
      </c>
      <c r="Z243" s="64">
        <v>0</v>
      </c>
      <c r="AA243" s="64">
        <v>0</v>
      </c>
      <c r="AB243" s="64">
        <v>0</v>
      </c>
      <c r="AC243" s="64">
        <v>0</v>
      </c>
      <c r="AD243" s="64">
        <v>0</v>
      </c>
      <c r="AE243" s="64">
        <v>0</v>
      </c>
      <c r="AF243" s="64">
        <v>4</v>
      </c>
      <c r="AG243" s="64">
        <v>0</v>
      </c>
      <c r="AH243" s="64">
        <v>0</v>
      </c>
      <c r="AI243" s="64">
        <v>1</v>
      </c>
      <c r="AJ243" s="64">
        <v>0</v>
      </c>
      <c r="AK243" s="64">
        <v>0</v>
      </c>
      <c r="AL243" s="64">
        <v>0</v>
      </c>
      <c r="AM243" s="64">
        <v>0</v>
      </c>
    </row>
    <row r="244" spans="2:39" x14ac:dyDescent="0.2">
      <c r="B244" t="str">
        <f t="shared" si="111"/>
        <v>AZ-1</v>
      </c>
      <c r="C244" t="str">
        <f t="shared" si="112"/>
        <v>Nov 2024-AZ-1</v>
      </c>
      <c r="D244">
        <f t="shared" si="113"/>
        <v>1</v>
      </c>
      <c r="E244">
        <f t="shared" si="114"/>
        <v>1.1299999999999999</v>
      </c>
      <c r="F244">
        <f t="shared" si="115"/>
        <v>13</v>
      </c>
      <c r="G244">
        <f t="shared" si="116"/>
        <v>1</v>
      </c>
      <c r="H244" t="str">
        <f>IF(V244="","",IFERROR(VLOOKUP(TRIM($V244),KEY!$B$2:$E$58,3,FALSE),""))</f>
        <v>AZ</v>
      </c>
      <c r="I244" t="str">
        <f t="shared" si="117"/>
        <v>WEST-1</v>
      </c>
      <c r="J244" t="str">
        <f t="shared" si="126"/>
        <v>Feb 2025-WEST-1</v>
      </c>
      <c r="K244">
        <f t="shared" si="118"/>
        <v>1</v>
      </c>
      <c r="L244">
        <f t="shared" si="119"/>
        <v>1.43</v>
      </c>
      <c r="M244">
        <f>IF(V244="","",IFERROR(VLOOKUP(TRIM($V244),KEY!$B$2:$E$58,4,FALSE),""))</f>
        <v>43</v>
      </c>
      <c r="N244">
        <f t="shared" si="120"/>
        <v>1</v>
      </c>
      <c r="O244" t="str">
        <f t="shared" si="121"/>
        <v>MI-2</v>
      </c>
      <c r="P244">
        <f t="shared" si="122"/>
        <v>2</v>
      </c>
      <c r="Q244">
        <f t="shared" si="123"/>
        <v>1.07</v>
      </c>
      <c r="R244">
        <f t="shared" si="124"/>
        <v>7</v>
      </c>
      <c r="S244">
        <f t="shared" si="125"/>
        <v>1</v>
      </c>
      <c r="T244" t="str">
        <f>IF(V244="","",IFERROR(VLOOKUP(TRIM($V244),KEY!$B$2:$E$58,2,FALSE),""))</f>
        <v>MI</v>
      </c>
      <c r="V244" s="64" t="s">
        <v>43</v>
      </c>
      <c r="W244" s="64">
        <v>5</v>
      </c>
      <c r="X244" s="64">
        <v>2</v>
      </c>
      <c r="Y244" s="64">
        <v>0.4</v>
      </c>
      <c r="Z244" s="64">
        <v>0</v>
      </c>
      <c r="AA244" s="64">
        <v>2</v>
      </c>
      <c r="AB244" s="64">
        <v>0</v>
      </c>
      <c r="AC244" s="64">
        <v>0</v>
      </c>
      <c r="AD244" s="64">
        <v>2</v>
      </c>
      <c r="AE244" s="64">
        <v>0.4</v>
      </c>
      <c r="AF244" s="64">
        <v>0</v>
      </c>
      <c r="AG244" s="64">
        <v>0</v>
      </c>
      <c r="AH244" s="64">
        <v>3</v>
      </c>
      <c r="AI244" s="64">
        <v>0.6</v>
      </c>
      <c r="AJ244" s="64">
        <v>0</v>
      </c>
      <c r="AK244" s="64">
        <v>0</v>
      </c>
      <c r="AL244" s="64">
        <v>0</v>
      </c>
      <c r="AM244" s="64">
        <v>0</v>
      </c>
    </row>
    <row r="245" spans="2:39" x14ac:dyDescent="0.2">
      <c r="B245" t="str">
        <f t="shared" si="111"/>
        <v>NorCal-7</v>
      </c>
      <c r="C245" t="str">
        <f t="shared" si="112"/>
        <v>Nov 2024-NorCal-7</v>
      </c>
      <c r="D245">
        <f t="shared" si="113"/>
        <v>7</v>
      </c>
      <c r="E245">
        <f t="shared" si="114"/>
        <v>2.06</v>
      </c>
      <c r="F245">
        <f t="shared" si="115"/>
        <v>6</v>
      </c>
      <c r="G245">
        <f t="shared" si="116"/>
        <v>2</v>
      </c>
      <c r="H245" t="str">
        <f>IF(V245="","",IFERROR(VLOOKUP(TRIM($V245),KEY!$B$2:$E$58,3,FALSE),""))</f>
        <v>NorCal</v>
      </c>
      <c r="I245" t="str">
        <f t="shared" si="117"/>
        <v>WEST-46</v>
      </c>
      <c r="J245" t="str">
        <f t="shared" si="126"/>
        <v>Feb 2025-WEST-46</v>
      </c>
      <c r="K245">
        <f t="shared" si="118"/>
        <v>46</v>
      </c>
      <c r="L245">
        <f t="shared" si="119"/>
        <v>17.440000000000001</v>
      </c>
      <c r="M245">
        <f>IF(V245="","",IFERROR(VLOOKUP(TRIM($V245),KEY!$B$2:$E$58,4,FALSE),""))</f>
        <v>44</v>
      </c>
      <c r="N245">
        <f t="shared" si="120"/>
        <v>17</v>
      </c>
      <c r="O245" t="str">
        <f t="shared" si="121"/>
        <v>BM-7</v>
      </c>
      <c r="P245">
        <f t="shared" si="122"/>
        <v>7</v>
      </c>
      <c r="Q245">
        <f t="shared" si="123"/>
        <v>5.07</v>
      </c>
      <c r="R245">
        <f t="shared" si="124"/>
        <v>7</v>
      </c>
      <c r="S245">
        <f t="shared" si="125"/>
        <v>5</v>
      </c>
      <c r="T245" t="str">
        <f>IF(V245="","",IFERROR(VLOOKUP(TRIM($V245),KEY!$B$2:$E$58,2,FALSE),""))</f>
        <v>BM</v>
      </c>
      <c r="V245" s="64" t="s">
        <v>21</v>
      </c>
      <c r="W245" s="64">
        <v>66</v>
      </c>
      <c r="X245" s="64">
        <v>0</v>
      </c>
      <c r="Y245" s="64">
        <v>0</v>
      </c>
      <c r="Z245" s="64">
        <v>0</v>
      </c>
      <c r="AA245" s="64">
        <v>0</v>
      </c>
      <c r="AB245" s="64">
        <v>0</v>
      </c>
      <c r="AC245" s="64">
        <v>0</v>
      </c>
      <c r="AD245" s="64">
        <v>0</v>
      </c>
      <c r="AE245" s="64">
        <v>0</v>
      </c>
      <c r="AF245" s="64">
        <v>0</v>
      </c>
      <c r="AG245" s="64">
        <v>0</v>
      </c>
      <c r="AH245" s="64">
        <v>66</v>
      </c>
      <c r="AI245" s="64">
        <v>1</v>
      </c>
      <c r="AJ245" s="64">
        <v>0</v>
      </c>
      <c r="AK245" s="64">
        <v>0</v>
      </c>
      <c r="AL245" s="64">
        <v>0</v>
      </c>
      <c r="AM245" s="64">
        <v>0</v>
      </c>
    </row>
    <row r="246" spans="2:39" x14ac:dyDescent="0.2">
      <c r="B246" t="str">
        <f t="shared" si="111"/>
        <v>AZ-15</v>
      </c>
      <c r="C246" t="str">
        <f t="shared" si="112"/>
        <v>Nov 2024-AZ-15</v>
      </c>
      <c r="D246">
        <f t="shared" si="113"/>
        <v>15</v>
      </c>
      <c r="E246">
        <f t="shared" si="114"/>
        <v>5.14</v>
      </c>
      <c r="F246">
        <f t="shared" si="115"/>
        <v>14</v>
      </c>
      <c r="G246">
        <f t="shared" si="116"/>
        <v>5</v>
      </c>
      <c r="H246" t="str">
        <f>IF(V246="","",IFERROR(VLOOKUP(TRIM($V246),KEY!$B$2:$E$58,3,FALSE),""))</f>
        <v>AZ</v>
      </c>
      <c r="I246" t="str">
        <f t="shared" si="117"/>
        <v>WEST-47</v>
      </c>
      <c r="J246" t="str">
        <f t="shared" si="126"/>
        <v>Feb 2025-WEST-47</v>
      </c>
      <c r="K246">
        <f t="shared" si="118"/>
        <v>47</v>
      </c>
      <c r="L246">
        <f t="shared" si="119"/>
        <v>17.45</v>
      </c>
      <c r="M246">
        <f>IF(V246="","",IFERROR(VLOOKUP(TRIM($V246),KEY!$B$2:$E$58,4,FALSE),""))</f>
        <v>45</v>
      </c>
      <c r="N246">
        <f t="shared" si="120"/>
        <v>17</v>
      </c>
      <c r="O246" t="str">
        <f t="shared" si="121"/>
        <v>PO-2</v>
      </c>
      <c r="P246">
        <f t="shared" si="122"/>
        <v>2</v>
      </c>
      <c r="Q246">
        <f t="shared" si="123"/>
        <v>2.0099999999999998</v>
      </c>
      <c r="R246">
        <f t="shared" si="124"/>
        <v>1</v>
      </c>
      <c r="S246">
        <f t="shared" si="125"/>
        <v>2</v>
      </c>
      <c r="T246" t="str">
        <f>IF(V246="","",IFERROR(VLOOKUP(TRIM($V246),KEY!$B$2:$E$58,2,FALSE),""))</f>
        <v>PO</v>
      </c>
      <c r="V246" s="64" t="s">
        <v>44</v>
      </c>
      <c r="W246" s="64">
        <v>3</v>
      </c>
      <c r="X246" s="64">
        <v>0</v>
      </c>
      <c r="Y246" s="64">
        <v>0</v>
      </c>
      <c r="Z246" s="64">
        <v>0</v>
      </c>
      <c r="AA246" s="64">
        <v>0</v>
      </c>
      <c r="AB246" s="64">
        <v>0</v>
      </c>
      <c r="AC246" s="64">
        <v>0</v>
      </c>
      <c r="AD246" s="64">
        <v>0</v>
      </c>
      <c r="AE246" s="64">
        <v>0</v>
      </c>
      <c r="AF246" s="64">
        <v>0</v>
      </c>
      <c r="AG246" s="64">
        <v>0</v>
      </c>
      <c r="AH246" s="64">
        <v>3</v>
      </c>
      <c r="AI246" s="64">
        <v>1</v>
      </c>
      <c r="AJ246" s="64">
        <v>0</v>
      </c>
      <c r="AK246" s="64">
        <v>0</v>
      </c>
      <c r="AL246" s="64">
        <v>0</v>
      </c>
      <c r="AM246" s="64">
        <v>0</v>
      </c>
    </row>
    <row r="247" spans="2:39" x14ac:dyDescent="0.2">
      <c r="B247" t="str">
        <f t="shared" si="111"/>
        <v>NorCal-1</v>
      </c>
      <c r="C247" t="str">
        <f t="shared" si="112"/>
        <v>Nov 2024-NorCal-1</v>
      </c>
      <c r="D247">
        <f t="shared" si="113"/>
        <v>1</v>
      </c>
      <c r="E247">
        <f t="shared" si="114"/>
        <v>1.07</v>
      </c>
      <c r="F247">
        <f t="shared" si="115"/>
        <v>7</v>
      </c>
      <c r="G247">
        <f t="shared" si="116"/>
        <v>1</v>
      </c>
      <c r="H247" t="str">
        <f>IF(V247="","",IFERROR(VLOOKUP(TRIM($V247),KEY!$B$2:$E$58,3,FALSE),""))</f>
        <v>NorCal</v>
      </c>
      <c r="I247" t="str">
        <f t="shared" si="117"/>
        <v>WEST-9</v>
      </c>
      <c r="J247" t="str">
        <f t="shared" si="126"/>
        <v>Feb 2025-WEST-9</v>
      </c>
      <c r="K247">
        <f t="shared" si="118"/>
        <v>9</v>
      </c>
      <c r="L247">
        <f t="shared" si="119"/>
        <v>9.4600000000000009</v>
      </c>
      <c r="M247">
        <f>IF(V247="","",IFERROR(VLOOKUP(TRIM($V247),KEY!$B$2:$E$58,4,FALSE),""))</f>
        <v>46</v>
      </c>
      <c r="N247">
        <f t="shared" si="120"/>
        <v>9</v>
      </c>
      <c r="O247" t="str">
        <f t="shared" si="121"/>
        <v>PO-1</v>
      </c>
      <c r="P247">
        <f t="shared" si="122"/>
        <v>1</v>
      </c>
      <c r="Q247">
        <f t="shared" si="123"/>
        <v>1.02</v>
      </c>
      <c r="R247">
        <f t="shared" si="124"/>
        <v>2</v>
      </c>
      <c r="S247">
        <f t="shared" si="125"/>
        <v>1</v>
      </c>
      <c r="T247" t="str">
        <f>IF(V247="","",IFERROR(VLOOKUP(TRIM($V247),KEY!$B$2:$E$58,2,FALSE),""))</f>
        <v>PO</v>
      </c>
      <c r="V247" s="64" t="s">
        <v>45</v>
      </c>
      <c r="W247" s="64">
        <v>7</v>
      </c>
      <c r="X247" s="64">
        <v>1</v>
      </c>
      <c r="Y247" s="64">
        <v>0.14285714285714285</v>
      </c>
      <c r="Z247" s="64">
        <v>0</v>
      </c>
      <c r="AA247" s="64">
        <v>1</v>
      </c>
      <c r="AB247" s="64">
        <v>0</v>
      </c>
      <c r="AC247" s="64">
        <v>0</v>
      </c>
      <c r="AD247" s="64">
        <v>1</v>
      </c>
      <c r="AE247" s="64">
        <v>0.14285714285714285</v>
      </c>
      <c r="AF247" s="64">
        <v>2</v>
      </c>
      <c r="AG247" s="64">
        <v>0</v>
      </c>
      <c r="AH247" s="64">
        <v>4</v>
      </c>
      <c r="AI247" s="64">
        <v>0.8571428571428571</v>
      </c>
      <c r="AJ247" s="64">
        <v>0</v>
      </c>
      <c r="AK247" s="64">
        <v>0</v>
      </c>
      <c r="AL247" s="64">
        <v>0</v>
      </c>
      <c r="AM247" s="64">
        <v>0</v>
      </c>
    </row>
    <row r="248" spans="2:39" x14ac:dyDescent="0.2">
      <c r="B248" t="str">
        <f t="shared" si="111"/>
        <v>TX-9</v>
      </c>
      <c r="C248" t="str">
        <f t="shared" si="112"/>
        <v>Nov 2024-TX-9</v>
      </c>
      <c r="D248">
        <f t="shared" si="113"/>
        <v>9</v>
      </c>
      <c r="E248">
        <f t="shared" si="114"/>
        <v>4.08</v>
      </c>
      <c r="F248">
        <f t="shared" si="115"/>
        <v>8</v>
      </c>
      <c r="G248">
        <f t="shared" si="116"/>
        <v>4</v>
      </c>
      <c r="H248" t="str">
        <f>IF(V248="","",IFERROR(VLOOKUP(TRIM($V248),KEY!$B$2:$E$58,3,FALSE),""))</f>
        <v>TX</v>
      </c>
      <c r="I248" t="str">
        <f t="shared" si="117"/>
        <v>WEST-48</v>
      </c>
      <c r="J248" t="str">
        <f t="shared" si="126"/>
        <v>Feb 2025-WEST-48</v>
      </c>
      <c r="K248">
        <f t="shared" si="118"/>
        <v>48</v>
      </c>
      <c r="L248">
        <f t="shared" si="119"/>
        <v>17.47</v>
      </c>
      <c r="M248">
        <f>IF(V248="","",IFERROR(VLOOKUP(TRIM($V248),KEY!$B$2:$E$58,4,FALSE),""))</f>
        <v>47</v>
      </c>
      <c r="N248">
        <f t="shared" si="120"/>
        <v>17</v>
      </c>
      <c r="O248" t="str">
        <f t="shared" si="121"/>
        <v>HO-5</v>
      </c>
      <c r="P248">
        <f t="shared" si="122"/>
        <v>5</v>
      </c>
      <c r="Q248">
        <f t="shared" si="123"/>
        <v>3.05</v>
      </c>
      <c r="R248">
        <f t="shared" si="124"/>
        <v>5</v>
      </c>
      <c r="S248">
        <f t="shared" si="125"/>
        <v>3</v>
      </c>
      <c r="T248" t="str">
        <f>IF(V248="","",IFERROR(VLOOKUP(TRIM($V248),KEY!$B$2:$E$58,2,FALSE),""))</f>
        <v>HO</v>
      </c>
      <c r="V248" s="64" t="s">
        <v>25</v>
      </c>
      <c r="W248" s="64">
        <v>20</v>
      </c>
      <c r="X248" s="64">
        <v>0</v>
      </c>
      <c r="Y248" s="64">
        <v>0</v>
      </c>
      <c r="Z248" s="64">
        <v>0</v>
      </c>
      <c r="AA248" s="64">
        <v>0</v>
      </c>
      <c r="AB248" s="64">
        <v>0</v>
      </c>
      <c r="AC248" s="64">
        <v>0</v>
      </c>
      <c r="AD248" s="64">
        <v>0</v>
      </c>
      <c r="AE248" s="64">
        <v>0</v>
      </c>
      <c r="AF248" s="64">
        <v>0</v>
      </c>
      <c r="AG248" s="64">
        <v>0</v>
      </c>
      <c r="AH248" s="64">
        <v>20</v>
      </c>
      <c r="AI248" s="64">
        <v>1</v>
      </c>
      <c r="AJ248" s="64">
        <v>0</v>
      </c>
      <c r="AK248" s="64">
        <v>0</v>
      </c>
      <c r="AL248" s="64">
        <v>0</v>
      </c>
      <c r="AM248" s="64">
        <v>0</v>
      </c>
    </row>
    <row r="249" spans="2:39" x14ac:dyDescent="0.2">
      <c r="B249" t="str">
        <f t="shared" si="111"/>
        <v>TX-10</v>
      </c>
      <c r="C249" t="str">
        <f t="shared" si="112"/>
        <v>Nov 2024-TX-10</v>
      </c>
      <c r="D249">
        <f t="shared" si="113"/>
        <v>10</v>
      </c>
      <c r="E249">
        <f t="shared" si="114"/>
        <v>4.09</v>
      </c>
      <c r="F249">
        <f t="shared" si="115"/>
        <v>9</v>
      </c>
      <c r="G249">
        <f t="shared" si="116"/>
        <v>4</v>
      </c>
      <c r="H249" t="str">
        <f>IF(V249="","",IFERROR(VLOOKUP(TRIM($V249),KEY!$B$2:$E$58,3,FALSE),""))</f>
        <v>TX</v>
      </c>
      <c r="I249" t="str">
        <f t="shared" si="117"/>
        <v>WEST-49</v>
      </c>
      <c r="J249" t="str">
        <f t="shared" si="126"/>
        <v>Feb 2025-WEST-49</v>
      </c>
      <c r="K249">
        <f t="shared" si="118"/>
        <v>49</v>
      </c>
      <c r="L249">
        <f t="shared" si="119"/>
        <v>17.48</v>
      </c>
      <c r="M249">
        <f>IF(V249="","",IFERROR(VLOOKUP(TRIM($V249),KEY!$B$2:$E$58,4,FALSE),""))</f>
        <v>48</v>
      </c>
      <c r="N249">
        <f t="shared" si="120"/>
        <v>17</v>
      </c>
      <c r="O249" t="str">
        <f t="shared" si="121"/>
        <v>HY-2</v>
      </c>
      <c r="P249">
        <f t="shared" si="122"/>
        <v>2</v>
      </c>
      <c r="Q249">
        <f t="shared" si="123"/>
        <v>1.02</v>
      </c>
      <c r="R249">
        <f t="shared" si="124"/>
        <v>2</v>
      </c>
      <c r="S249">
        <f t="shared" si="125"/>
        <v>1</v>
      </c>
      <c r="T249" t="str">
        <f>IF(V249="","",IFERROR(VLOOKUP(TRIM($V249),KEY!$B$2:$E$58,2,FALSE),""))</f>
        <v>HY</v>
      </c>
      <c r="V249" s="64" t="s">
        <v>28</v>
      </c>
      <c r="W249" s="64">
        <v>6</v>
      </c>
      <c r="X249" s="64">
        <v>0</v>
      </c>
      <c r="Y249" s="64">
        <v>0</v>
      </c>
      <c r="Z249" s="64">
        <v>1</v>
      </c>
      <c r="AA249" s="64">
        <v>0</v>
      </c>
      <c r="AB249" s="64">
        <v>0</v>
      </c>
      <c r="AC249" s="64">
        <v>0</v>
      </c>
      <c r="AD249" s="64">
        <v>1</v>
      </c>
      <c r="AE249" s="64">
        <v>0.16666666666666666</v>
      </c>
      <c r="AF249" s="64">
        <v>5</v>
      </c>
      <c r="AG249" s="64">
        <v>0</v>
      </c>
      <c r="AH249" s="64">
        <v>0</v>
      </c>
      <c r="AI249" s="64">
        <v>0.83333333333333337</v>
      </c>
      <c r="AJ249" s="64">
        <v>0</v>
      </c>
      <c r="AK249" s="64">
        <v>0</v>
      </c>
      <c r="AL249" s="64">
        <v>0</v>
      </c>
      <c r="AM249" s="64">
        <v>0</v>
      </c>
    </row>
    <row r="250" spans="2:39" x14ac:dyDescent="0.2">
      <c r="B250" t="str">
        <f t="shared" si="111"/>
        <v>TX-11</v>
      </c>
      <c r="C250" t="str">
        <f t="shared" si="112"/>
        <v>Nov 2024-TX-11</v>
      </c>
      <c r="D250">
        <f t="shared" si="113"/>
        <v>11</v>
      </c>
      <c r="E250">
        <f t="shared" si="114"/>
        <v>4.0999999999999996</v>
      </c>
      <c r="F250">
        <f t="shared" si="115"/>
        <v>10</v>
      </c>
      <c r="G250">
        <f t="shared" si="116"/>
        <v>4</v>
      </c>
      <c r="H250" t="str">
        <f>IF(V250="","",IFERROR(VLOOKUP(TRIM($V250),KEY!$B$2:$E$58,3,FALSE),""))</f>
        <v>TX</v>
      </c>
      <c r="I250" t="str">
        <f t="shared" si="117"/>
        <v>WEST-50</v>
      </c>
      <c r="J250" t="str">
        <f t="shared" si="126"/>
        <v>Feb 2025-WEST-50</v>
      </c>
      <c r="K250">
        <f t="shared" si="118"/>
        <v>50</v>
      </c>
      <c r="L250">
        <f t="shared" si="119"/>
        <v>17.489999999999998</v>
      </c>
      <c r="M250">
        <f>IF(V250="","",IFERROR(VLOOKUP(TRIM($V250),KEY!$B$2:$E$58,4,FALSE),""))</f>
        <v>49</v>
      </c>
      <c r="N250">
        <f t="shared" si="120"/>
        <v>17</v>
      </c>
      <c r="O250" t="str">
        <f t="shared" si="121"/>
        <v>TO-3</v>
      </c>
      <c r="P250">
        <f t="shared" si="122"/>
        <v>3</v>
      </c>
      <c r="Q250">
        <f t="shared" si="123"/>
        <v>2.02</v>
      </c>
      <c r="R250">
        <f t="shared" si="124"/>
        <v>2</v>
      </c>
      <c r="S250">
        <f t="shared" si="125"/>
        <v>2</v>
      </c>
      <c r="T250" t="str">
        <f>IF(V250="","",IFERROR(VLOOKUP(TRIM($V250),KEY!$B$2:$E$58,2,FALSE),""))</f>
        <v>TO</v>
      </c>
      <c r="V250" s="64" t="s">
        <v>48</v>
      </c>
      <c r="W250" s="64">
        <v>3</v>
      </c>
      <c r="X250" s="64">
        <v>0</v>
      </c>
      <c r="Y250" s="64">
        <v>0</v>
      </c>
      <c r="Z250" s="64">
        <v>0</v>
      </c>
      <c r="AA250" s="64">
        <v>0</v>
      </c>
      <c r="AB250" s="64">
        <v>0</v>
      </c>
      <c r="AC250" s="64">
        <v>0</v>
      </c>
      <c r="AD250" s="64">
        <v>0</v>
      </c>
      <c r="AE250" s="64">
        <v>0</v>
      </c>
      <c r="AF250" s="64">
        <v>0</v>
      </c>
      <c r="AG250" s="64">
        <v>0</v>
      </c>
      <c r="AH250" s="64">
        <v>3</v>
      </c>
      <c r="AI250" s="64">
        <v>1</v>
      </c>
      <c r="AJ250" s="64">
        <v>0</v>
      </c>
      <c r="AK250" s="64">
        <v>0</v>
      </c>
      <c r="AL250" s="64">
        <v>0</v>
      </c>
      <c r="AM250" s="64">
        <v>0</v>
      </c>
    </row>
    <row r="251" spans="2:39" x14ac:dyDescent="0.2">
      <c r="B251" t="str">
        <f t="shared" si="111"/>
        <v>AZ-2</v>
      </c>
      <c r="C251" t="str">
        <f t="shared" si="112"/>
        <v>Nov 2024-AZ-2</v>
      </c>
      <c r="D251">
        <f t="shared" si="113"/>
        <v>2</v>
      </c>
      <c r="E251">
        <f t="shared" si="114"/>
        <v>1.1499999999999999</v>
      </c>
      <c r="F251">
        <f t="shared" si="115"/>
        <v>15</v>
      </c>
      <c r="G251">
        <f t="shared" si="116"/>
        <v>1</v>
      </c>
      <c r="H251" t="str">
        <f>IF(V251="","",IFERROR(VLOOKUP(TRIM($V251),KEY!$B$2:$E$58,3,FALSE),""))</f>
        <v>AZ</v>
      </c>
      <c r="I251" t="str">
        <f t="shared" si="117"/>
        <v>WEST--</v>
      </c>
      <c r="J251" t="str">
        <f t="shared" si="126"/>
        <v>Feb 2025-WEST--</v>
      </c>
      <c r="K251" t="str">
        <f t="shared" si="118"/>
        <v>-</v>
      </c>
      <c r="L251" t="str">
        <f t="shared" si="119"/>
        <v>-</v>
      </c>
      <c r="M251">
        <f>IF(V251="","",IFERROR(VLOOKUP(TRIM($V251),KEY!$B$2:$E$58,4,FALSE),""))</f>
        <v>50</v>
      </c>
      <c r="N251" t="str">
        <f t="shared" si="120"/>
        <v>-</v>
      </c>
      <c r="O251" t="str">
        <f t="shared" si="121"/>
        <v>FE-1</v>
      </c>
      <c r="P251">
        <f t="shared" si="122"/>
        <v>1</v>
      </c>
      <c r="Q251">
        <f t="shared" si="123"/>
        <v>1.01</v>
      </c>
      <c r="R251">
        <f t="shared" si="124"/>
        <v>1</v>
      </c>
      <c r="S251">
        <f t="shared" si="125"/>
        <v>1</v>
      </c>
      <c r="T251" t="str">
        <f>IF(V251="","",IFERROR(VLOOKUP(TRIM($V251),KEY!$B$2:$E$58,2,FALSE),""))</f>
        <v>FE</v>
      </c>
      <c r="V251" s="64" t="s">
        <v>46</v>
      </c>
      <c r="W251" s="64">
        <v>0</v>
      </c>
      <c r="X251" s="64">
        <v>0</v>
      </c>
      <c r="Y251" s="64" t="s">
        <v>274</v>
      </c>
      <c r="Z251" s="64">
        <v>0</v>
      </c>
      <c r="AA251" s="64">
        <v>0</v>
      </c>
      <c r="AB251" s="64">
        <v>0</v>
      </c>
      <c r="AC251" s="64">
        <v>0</v>
      </c>
      <c r="AD251" s="64">
        <v>0</v>
      </c>
      <c r="AE251" s="64" t="s">
        <v>274</v>
      </c>
      <c r="AF251" s="64">
        <v>0</v>
      </c>
      <c r="AG251" s="64">
        <v>0</v>
      </c>
      <c r="AH251" s="64">
        <v>0</v>
      </c>
      <c r="AI251" s="64" t="s">
        <v>274</v>
      </c>
      <c r="AJ251" s="64">
        <v>0</v>
      </c>
      <c r="AK251" s="64">
        <v>0</v>
      </c>
      <c r="AL251" s="64">
        <v>0</v>
      </c>
      <c r="AM251" s="64" t="s">
        <v>274</v>
      </c>
    </row>
    <row r="252" spans="2:39" x14ac:dyDescent="0.2">
      <c r="B252" t="str">
        <f t="shared" si="111"/>
        <v>OC-4</v>
      </c>
      <c r="C252" t="str">
        <f t="shared" si="112"/>
        <v>Nov 2024-OC-4</v>
      </c>
      <c r="D252">
        <f t="shared" si="113"/>
        <v>4</v>
      </c>
      <c r="E252">
        <f t="shared" si="114"/>
        <v>3.08</v>
      </c>
      <c r="F252">
        <f t="shared" si="115"/>
        <v>8</v>
      </c>
      <c r="G252">
        <f t="shared" si="116"/>
        <v>3</v>
      </c>
      <c r="H252" t="str">
        <f>IF(V252="","",IFERROR(VLOOKUP(TRIM($V252),KEY!$B$2:$E$58,3,FALSE),""))</f>
        <v>OC</v>
      </c>
      <c r="I252" t="str">
        <f t="shared" si="117"/>
        <v>WEST-11</v>
      </c>
      <c r="J252" t="str">
        <f t="shared" si="126"/>
        <v>Feb 2025-WEST-11</v>
      </c>
      <c r="K252">
        <f t="shared" si="118"/>
        <v>11</v>
      </c>
      <c r="L252">
        <f t="shared" si="119"/>
        <v>11.51</v>
      </c>
      <c r="M252">
        <f>IF(V252="","",IFERROR(VLOOKUP(TRIM($V252),KEY!$B$2:$E$58,4,FALSE),""))</f>
        <v>51</v>
      </c>
      <c r="N252">
        <f t="shared" si="120"/>
        <v>11</v>
      </c>
      <c r="O252" t="str">
        <f t="shared" si="121"/>
        <v>SU-1</v>
      </c>
      <c r="P252">
        <f t="shared" si="122"/>
        <v>1</v>
      </c>
      <c r="Q252">
        <f t="shared" si="123"/>
        <v>1.01</v>
      </c>
      <c r="R252">
        <f t="shared" si="124"/>
        <v>1</v>
      </c>
      <c r="S252">
        <f t="shared" si="125"/>
        <v>1</v>
      </c>
      <c r="T252" t="str">
        <f>IF(V252="","",IFERROR(VLOOKUP(TRIM($V252),KEY!$B$2:$E$58,2,FALSE),""))</f>
        <v>SU</v>
      </c>
      <c r="V252" s="64" t="s">
        <v>47</v>
      </c>
      <c r="W252" s="64">
        <v>9</v>
      </c>
      <c r="X252" s="64">
        <v>1</v>
      </c>
      <c r="Y252" s="64">
        <v>0.1111111111111111</v>
      </c>
      <c r="Z252" s="64">
        <v>0</v>
      </c>
      <c r="AA252" s="64">
        <v>1</v>
      </c>
      <c r="AB252" s="64">
        <v>0</v>
      </c>
      <c r="AC252" s="64">
        <v>0</v>
      </c>
      <c r="AD252" s="64">
        <v>1</v>
      </c>
      <c r="AE252" s="64">
        <v>0.1111111111111111</v>
      </c>
      <c r="AF252" s="64">
        <v>0</v>
      </c>
      <c r="AG252" s="64">
        <v>0</v>
      </c>
      <c r="AH252" s="64">
        <v>8</v>
      </c>
      <c r="AI252" s="64">
        <v>0.88888888888888884</v>
      </c>
      <c r="AJ252" s="64">
        <v>0</v>
      </c>
      <c r="AK252" s="64">
        <v>0</v>
      </c>
      <c r="AL252" s="64">
        <v>0</v>
      </c>
      <c r="AM252" s="64">
        <v>0</v>
      </c>
    </row>
    <row r="253" spans="2:39" x14ac:dyDescent="0.2">
      <c r="B253" t="str">
        <f t="shared" si="111"/>
        <v>AZ-16</v>
      </c>
      <c r="C253" t="str">
        <f t="shared" si="112"/>
        <v>Nov 2024-AZ-16</v>
      </c>
      <c r="D253">
        <f t="shared" si="113"/>
        <v>16</v>
      </c>
      <c r="E253">
        <f t="shared" si="114"/>
        <v>5.16</v>
      </c>
      <c r="F253">
        <f t="shared" si="115"/>
        <v>16</v>
      </c>
      <c r="G253">
        <f t="shared" si="116"/>
        <v>5</v>
      </c>
      <c r="H253" t="str">
        <f>IF(V253="","",IFERROR(VLOOKUP(TRIM($V253),KEY!$B$2:$E$58,3,FALSE),""))</f>
        <v>AZ</v>
      </c>
      <c r="I253" t="str">
        <f t="shared" si="117"/>
        <v>WEST-51</v>
      </c>
      <c r="J253" t="str">
        <f t="shared" si="126"/>
        <v>Feb 2025-WEST-51</v>
      </c>
      <c r="K253">
        <f t="shared" si="118"/>
        <v>51</v>
      </c>
      <c r="L253">
        <f t="shared" si="119"/>
        <v>17.52</v>
      </c>
      <c r="M253">
        <f>IF(V253="","",IFERROR(VLOOKUP(TRIM($V253),KEY!$B$2:$E$58,4,FALSE),""))</f>
        <v>52</v>
      </c>
      <c r="N253">
        <f t="shared" si="120"/>
        <v>17</v>
      </c>
      <c r="O253" t="str">
        <f t="shared" si="121"/>
        <v>HO-6</v>
      </c>
      <c r="P253">
        <f t="shared" si="122"/>
        <v>6</v>
      </c>
      <c r="Q253">
        <f t="shared" si="123"/>
        <v>3.06</v>
      </c>
      <c r="R253">
        <f t="shared" si="124"/>
        <v>6</v>
      </c>
      <c r="S253">
        <f t="shared" si="125"/>
        <v>3</v>
      </c>
      <c r="T253" t="str">
        <f>IF(V253="","",IFERROR(VLOOKUP(TRIM($V253),KEY!$B$2:$E$58,2,FALSE),""))</f>
        <v>HO</v>
      </c>
      <c r="V253" s="64" t="s">
        <v>26</v>
      </c>
      <c r="W253" s="64">
        <v>42</v>
      </c>
      <c r="X253" s="64">
        <v>0</v>
      </c>
      <c r="Y253" s="64">
        <v>0</v>
      </c>
      <c r="Z253" s="64">
        <v>0</v>
      </c>
      <c r="AA253" s="64">
        <v>0</v>
      </c>
      <c r="AB253" s="64">
        <v>0</v>
      </c>
      <c r="AC253" s="64">
        <v>0</v>
      </c>
      <c r="AD253" s="64">
        <v>0</v>
      </c>
      <c r="AE253" s="64">
        <v>0</v>
      </c>
      <c r="AF253" s="64">
        <v>0</v>
      </c>
      <c r="AG253" s="64">
        <v>0</v>
      </c>
      <c r="AH253" s="64">
        <v>42</v>
      </c>
      <c r="AI253" s="64">
        <v>1</v>
      </c>
      <c r="AJ253" s="64">
        <v>0</v>
      </c>
      <c r="AK253" s="64">
        <v>0</v>
      </c>
      <c r="AL253" s="64">
        <v>0</v>
      </c>
      <c r="AM253" s="64">
        <v>0</v>
      </c>
    </row>
    <row r="254" spans="2:39" x14ac:dyDescent="0.2">
      <c r="B254" t="str">
        <f t="shared" si="111"/>
        <v>NorCal-8</v>
      </c>
      <c r="C254" t="str">
        <f t="shared" si="112"/>
        <v>Nov 2024-NorCal-8</v>
      </c>
      <c r="D254">
        <f t="shared" si="113"/>
        <v>8</v>
      </c>
      <c r="E254">
        <f t="shared" si="114"/>
        <v>2.08</v>
      </c>
      <c r="F254">
        <f t="shared" si="115"/>
        <v>8</v>
      </c>
      <c r="G254">
        <f t="shared" si="116"/>
        <v>2</v>
      </c>
      <c r="H254" t="str">
        <f>IF(V254="","",IFERROR(VLOOKUP(TRIM($V254),KEY!$B$2:$E$58,3,FALSE),""))</f>
        <v>NorCal</v>
      </c>
      <c r="I254" t="str">
        <f t="shared" si="117"/>
        <v>WEST-52</v>
      </c>
      <c r="J254" t="str">
        <f t="shared" si="126"/>
        <v>Feb 2025-WEST-52</v>
      </c>
      <c r="K254">
        <f t="shared" si="118"/>
        <v>52</v>
      </c>
      <c r="L254">
        <f t="shared" si="119"/>
        <v>17.53</v>
      </c>
      <c r="M254">
        <f>IF(V254="","",IFERROR(VLOOKUP(TRIM($V254),KEY!$B$2:$E$58,4,FALSE),""))</f>
        <v>53</v>
      </c>
      <c r="N254">
        <f t="shared" si="120"/>
        <v>17</v>
      </c>
      <c r="O254" t="str">
        <f t="shared" si="121"/>
        <v>TO-4</v>
      </c>
      <c r="P254">
        <f t="shared" si="122"/>
        <v>4</v>
      </c>
      <c r="Q254">
        <f t="shared" si="123"/>
        <v>2.0299999999999998</v>
      </c>
      <c r="R254">
        <f t="shared" si="124"/>
        <v>3</v>
      </c>
      <c r="S254">
        <f t="shared" si="125"/>
        <v>2</v>
      </c>
      <c r="T254" t="str">
        <f>IF(V254="","",IFERROR(VLOOKUP(TRIM($V254),KEY!$B$2:$E$58,2,FALSE),""))</f>
        <v>TO</v>
      </c>
      <c r="V254" s="64" t="s">
        <v>50</v>
      </c>
      <c r="W254" s="64">
        <v>10</v>
      </c>
      <c r="X254" s="64">
        <v>0</v>
      </c>
      <c r="Y254" s="64">
        <v>0</v>
      </c>
      <c r="Z254" s="64">
        <v>0</v>
      </c>
      <c r="AA254" s="64">
        <v>0</v>
      </c>
      <c r="AB254" s="64">
        <v>0</v>
      </c>
      <c r="AC254" s="64">
        <v>0</v>
      </c>
      <c r="AD254" s="64">
        <v>0</v>
      </c>
      <c r="AE254" s="64">
        <v>0</v>
      </c>
      <c r="AF254" s="64">
        <v>0</v>
      </c>
      <c r="AG254" s="64">
        <v>0</v>
      </c>
      <c r="AH254" s="64">
        <v>10</v>
      </c>
      <c r="AI254" s="64">
        <v>1</v>
      </c>
      <c r="AJ254" s="64">
        <v>0</v>
      </c>
      <c r="AK254" s="64">
        <v>0</v>
      </c>
      <c r="AL254" s="64">
        <v>0</v>
      </c>
      <c r="AM254" s="64">
        <v>0</v>
      </c>
    </row>
    <row r="255" spans="2:39" x14ac:dyDescent="0.2">
      <c r="B255" t="str">
        <f t="shared" si="111"/>
        <v>TX-1</v>
      </c>
      <c r="C255" t="str">
        <f t="shared" si="112"/>
        <v>Nov 2024-TX-1</v>
      </c>
      <c r="D255">
        <f t="shared" si="113"/>
        <v>1</v>
      </c>
      <c r="E255">
        <f t="shared" si="114"/>
        <v>1.1100000000000001</v>
      </c>
      <c r="F255">
        <f t="shared" si="115"/>
        <v>11</v>
      </c>
      <c r="G255">
        <f t="shared" si="116"/>
        <v>1</v>
      </c>
      <c r="H255" t="str">
        <f>IF(V255="","",IFERROR(VLOOKUP(TRIM($V255),KEY!$B$2:$E$58,3,FALSE),""))</f>
        <v>TX</v>
      </c>
      <c r="I255" t="str">
        <f t="shared" si="117"/>
        <v>WEST-4</v>
      </c>
      <c r="J255" t="str">
        <f t="shared" si="126"/>
        <v>Feb 2025-WEST-4</v>
      </c>
      <c r="K255">
        <f t="shared" si="118"/>
        <v>4</v>
      </c>
      <c r="L255">
        <f t="shared" si="119"/>
        <v>4.54</v>
      </c>
      <c r="M255">
        <f>IF(V255="","",IFERROR(VLOOKUP(TRIM($V255),KEY!$B$2:$E$58,4,FALSE),""))</f>
        <v>54</v>
      </c>
      <c r="N255">
        <f t="shared" si="120"/>
        <v>4</v>
      </c>
      <c r="O255" t="str">
        <f t="shared" si="121"/>
        <v>TO-1</v>
      </c>
      <c r="P255">
        <f t="shared" si="122"/>
        <v>1</v>
      </c>
      <c r="Q255">
        <f t="shared" si="123"/>
        <v>1.04</v>
      </c>
      <c r="R255">
        <f t="shared" si="124"/>
        <v>4</v>
      </c>
      <c r="S255">
        <f t="shared" si="125"/>
        <v>1</v>
      </c>
      <c r="T255" t="str">
        <f>IF(V255="","",IFERROR(VLOOKUP(TRIM($V255),KEY!$B$2:$E$58,2,FALSE),""))</f>
        <v>TO</v>
      </c>
      <c r="V255" s="64" t="s">
        <v>51</v>
      </c>
      <c r="W255" s="64">
        <v>51</v>
      </c>
      <c r="X255" s="64">
        <v>10</v>
      </c>
      <c r="Y255" s="64">
        <v>0.19607843137254902</v>
      </c>
      <c r="Z255" s="64">
        <v>3</v>
      </c>
      <c r="AA255" s="64">
        <v>10</v>
      </c>
      <c r="AB255" s="64">
        <v>0</v>
      </c>
      <c r="AC255" s="64">
        <v>1</v>
      </c>
      <c r="AD255" s="64">
        <v>14</v>
      </c>
      <c r="AE255" s="64">
        <v>0.27450980392156865</v>
      </c>
      <c r="AF255" s="64">
        <v>17</v>
      </c>
      <c r="AG255" s="64">
        <v>0</v>
      </c>
      <c r="AH255" s="64">
        <v>15</v>
      </c>
      <c r="AI255" s="64">
        <v>0.62745098039215685</v>
      </c>
      <c r="AJ255" s="64">
        <v>0</v>
      </c>
      <c r="AK255" s="64">
        <v>5</v>
      </c>
      <c r="AL255" s="64">
        <v>0</v>
      </c>
      <c r="AM255" s="64">
        <v>9.8039215686274508E-2</v>
      </c>
    </row>
    <row r="256" spans="2:39" x14ac:dyDescent="0.2">
      <c r="B256" t="str">
        <f t="shared" si="111"/>
        <v>AZ-17</v>
      </c>
      <c r="C256" t="str">
        <f t="shared" si="112"/>
        <v>Nov 2024-AZ-17</v>
      </c>
      <c r="D256">
        <f t="shared" si="113"/>
        <v>17</v>
      </c>
      <c r="E256">
        <f t="shared" si="114"/>
        <v>5.17</v>
      </c>
      <c r="F256">
        <f t="shared" si="115"/>
        <v>17</v>
      </c>
      <c r="G256">
        <f t="shared" si="116"/>
        <v>5</v>
      </c>
      <c r="H256" t="str">
        <f>IF(V256="","",IFERROR(VLOOKUP(TRIM($V256),KEY!$B$2:$E$58,3,FALSE),""))</f>
        <v>AZ</v>
      </c>
      <c r="I256" t="str">
        <f t="shared" si="117"/>
        <v>WEST-53</v>
      </c>
      <c r="J256" t="str">
        <f t="shared" si="126"/>
        <v>Feb 2025-WEST-53</v>
      </c>
      <c r="K256">
        <f t="shared" si="118"/>
        <v>53</v>
      </c>
      <c r="L256">
        <f t="shared" si="119"/>
        <v>17.55</v>
      </c>
      <c r="M256">
        <f>IF(V256="","",IFERROR(VLOOKUP(TRIM($V256),KEY!$B$2:$E$58,4,FALSE),""))</f>
        <v>55</v>
      </c>
      <c r="N256">
        <f t="shared" si="120"/>
        <v>17</v>
      </c>
      <c r="O256" t="str">
        <f t="shared" si="121"/>
        <v>TO-5</v>
      </c>
      <c r="P256">
        <f t="shared" si="122"/>
        <v>5</v>
      </c>
      <c r="Q256">
        <f t="shared" si="123"/>
        <v>2.0499999999999998</v>
      </c>
      <c r="R256">
        <f t="shared" si="124"/>
        <v>5</v>
      </c>
      <c r="S256">
        <f t="shared" si="125"/>
        <v>2</v>
      </c>
      <c r="T256" t="str">
        <f>IF(V256="","",IFERROR(VLOOKUP(TRIM($V256),KEY!$B$2:$E$58,2,FALSE),""))</f>
        <v>TO</v>
      </c>
      <c r="V256" s="64" t="s">
        <v>52</v>
      </c>
      <c r="W256" s="64">
        <v>8</v>
      </c>
      <c r="X256" s="64">
        <v>0</v>
      </c>
      <c r="Y256" s="64">
        <v>0</v>
      </c>
      <c r="Z256" s="64">
        <v>0</v>
      </c>
      <c r="AA256" s="64">
        <v>0</v>
      </c>
      <c r="AB256" s="64">
        <v>0</v>
      </c>
      <c r="AC256" s="64">
        <v>0</v>
      </c>
      <c r="AD256" s="64">
        <v>0</v>
      </c>
      <c r="AE256" s="64">
        <v>0</v>
      </c>
      <c r="AF256" s="64">
        <v>0</v>
      </c>
      <c r="AG256" s="64">
        <v>0</v>
      </c>
      <c r="AH256" s="64">
        <v>8</v>
      </c>
      <c r="AI256" s="64">
        <v>1</v>
      </c>
      <c r="AJ256" s="64">
        <v>0</v>
      </c>
      <c r="AK256" s="64">
        <v>0</v>
      </c>
      <c r="AL256" s="64">
        <v>0</v>
      </c>
      <c r="AM256" s="64">
        <v>0</v>
      </c>
    </row>
    <row r="257" spans="1:39" x14ac:dyDescent="0.2">
      <c r="B257" t="str">
        <f t="shared" si="111"/>
        <v>AZ-18</v>
      </c>
      <c r="C257" t="str">
        <f t="shared" si="112"/>
        <v>Nov 2024-AZ-18</v>
      </c>
      <c r="D257">
        <f t="shared" si="113"/>
        <v>18</v>
      </c>
      <c r="E257">
        <f t="shared" si="114"/>
        <v>5.18</v>
      </c>
      <c r="F257">
        <f t="shared" si="115"/>
        <v>18</v>
      </c>
      <c r="G257">
        <f t="shared" si="116"/>
        <v>5</v>
      </c>
      <c r="H257" t="str">
        <f>IF(V257="","",IFERROR(VLOOKUP(TRIM($V257),KEY!$B$2:$E$58,3,FALSE),""))</f>
        <v>AZ</v>
      </c>
      <c r="I257" t="str">
        <f t="shared" si="117"/>
        <v>WEST-54</v>
      </c>
      <c r="J257" t="str">
        <f t="shared" si="126"/>
        <v>Feb 2025-WEST-54</v>
      </c>
      <c r="K257">
        <f t="shared" si="118"/>
        <v>54</v>
      </c>
      <c r="L257">
        <f t="shared" si="119"/>
        <v>17.559999999999999</v>
      </c>
      <c r="M257">
        <f>IF(V257="","",IFERROR(VLOOKUP(TRIM($V257),KEY!$B$2:$E$58,4,FALSE),""))</f>
        <v>56</v>
      </c>
      <c r="N257">
        <f t="shared" si="120"/>
        <v>17</v>
      </c>
      <c r="O257" t="str">
        <f t="shared" si="121"/>
        <v>VW-1</v>
      </c>
      <c r="P257">
        <f t="shared" si="122"/>
        <v>1</v>
      </c>
      <c r="Q257">
        <f t="shared" si="123"/>
        <v>1.01</v>
      </c>
      <c r="R257">
        <f t="shared" si="124"/>
        <v>1</v>
      </c>
      <c r="S257">
        <f t="shared" si="125"/>
        <v>1</v>
      </c>
      <c r="T257" t="str">
        <f>IF(V257="","",IFERROR(VLOOKUP(TRIM($V257),KEY!$B$2:$E$58,2,FALSE),""))</f>
        <v>VW</v>
      </c>
      <c r="V257" t="s">
        <v>53</v>
      </c>
      <c r="W257">
        <v>19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19</v>
      </c>
      <c r="AI257">
        <v>1</v>
      </c>
      <c r="AJ257">
        <v>0</v>
      </c>
      <c r="AK257">
        <v>0</v>
      </c>
      <c r="AL257">
        <v>0</v>
      </c>
      <c r="AM257">
        <v>0</v>
      </c>
    </row>
    <row r="258" spans="1:39" x14ac:dyDescent="0.2">
      <c r="B258" t="str">
        <f t="shared" si="111"/>
        <v>OC-9</v>
      </c>
      <c r="C258" t="str">
        <f t="shared" si="112"/>
        <v>Nov 2024-OC-9</v>
      </c>
      <c r="D258">
        <f t="shared" si="113"/>
        <v>9</v>
      </c>
      <c r="E258">
        <f t="shared" si="114"/>
        <v>5.09</v>
      </c>
      <c r="F258">
        <f t="shared" si="115"/>
        <v>9</v>
      </c>
      <c r="G258">
        <f t="shared" si="116"/>
        <v>5</v>
      </c>
      <c r="H258" t="str">
        <f>IF(V258="","",IFERROR(VLOOKUP(TRIM($V258),KEY!$B$2:$E$58,3,FALSE),""))</f>
        <v>OC</v>
      </c>
      <c r="I258" t="str">
        <f t="shared" si="117"/>
        <v>WEST-55</v>
      </c>
      <c r="J258" t="str">
        <f t="shared" si="126"/>
        <v>Feb 2025-WEST-55</v>
      </c>
      <c r="K258">
        <f t="shared" si="118"/>
        <v>55</v>
      </c>
      <c r="L258">
        <f t="shared" si="119"/>
        <v>17.57</v>
      </c>
      <c r="M258">
        <f>IF(V258="","",IFERROR(VLOOKUP(TRIM($V258),KEY!$B$2:$E$58,4,FALSE),""))</f>
        <v>57</v>
      </c>
      <c r="N258">
        <f t="shared" si="120"/>
        <v>17</v>
      </c>
      <c r="O258" t="str">
        <f t="shared" si="121"/>
        <v>VW-2</v>
      </c>
      <c r="P258">
        <f t="shared" si="122"/>
        <v>2</v>
      </c>
      <c r="Q258">
        <f t="shared" si="123"/>
        <v>1.02</v>
      </c>
      <c r="R258">
        <f t="shared" si="124"/>
        <v>2</v>
      </c>
      <c r="S258">
        <f t="shared" si="125"/>
        <v>1</v>
      </c>
      <c r="T258" t="str">
        <f>IF(V258="","",IFERROR(VLOOKUP(TRIM($V258),KEY!$B$2:$E$58,2,FALSE),""))</f>
        <v>VW</v>
      </c>
      <c r="V258" t="s">
        <v>54</v>
      </c>
      <c r="W258">
        <v>34</v>
      </c>
      <c r="X258">
        <v>0</v>
      </c>
      <c r="Y258">
        <v>0</v>
      </c>
      <c r="Z258">
        <v>0</v>
      </c>
      <c r="AA258">
        <v>0</v>
      </c>
      <c r="AB258">
        <v>1</v>
      </c>
      <c r="AC258">
        <v>0</v>
      </c>
      <c r="AD258">
        <v>1</v>
      </c>
      <c r="AE258">
        <v>2.9411764705882353E-2</v>
      </c>
      <c r="AF258">
        <v>24</v>
      </c>
      <c r="AG258">
        <v>0</v>
      </c>
      <c r="AH258">
        <v>1</v>
      </c>
      <c r="AI258">
        <v>0.73529411764705888</v>
      </c>
      <c r="AJ258">
        <v>7</v>
      </c>
      <c r="AK258">
        <v>1</v>
      </c>
      <c r="AL258">
        <v>0</v>
      </c>
      <c r="AM258">
        <v>0.23529411764705882</v>
      </c>
    </row>
    <row r="259" spans="1:39" x14ac:dyDescent="0.2">
      <c r="W259" s="1">
        <f t="shared" ref="W259:X259" si="127">SUM(W202:W258)</f>
        <v>1033</v>
      </c>
      <c r="X259" s="1">
        <f t="shared" si="127"/>
        <v>74</v>
      </c>
      <c r="Y259" s="3">
        <f>X259/W259</f>
        <v>7.1636011616650536E-2</v>
      </c>
      <c r="Z259" s="1">
        <f t="shared" ref="Z259:AD259" si="128">SUM(Z202:Z258)</f>
        <v>6</v>
      </c>
      <c r="AA259" s="1">
        <f t="shared" si="128"/>
        <v>74</v>
      </c>
      <c r="AB259" s="1">
        <f t="shared" si="128"/>
        <v>1</v>
      </c>
      <c r="AC259" s="1">
        <f t="shared" si="128"/>
        <v>7</v>
      </c>
      <c r="AD259" s="1">
        <f t="shared" si="128"/>
        <v>88</v>
      </c>
      <c r="AE259" s="3">
        <f>AD259/W259</f>
        <v>8.5188770571151984E-2</v>
      </c>
      <c r="AF259" s="1">
        <f>SUM(AF202:AF258)</f>
        <v>274</v>
      </c>
      <c r="AG259" s="1">
        <f>SUM(AG202:AG258)</f>
        <v>10</v>
      </c>
      <c r="AH259" s="1">
        <f>SUM(AH202:AH258)</f>
        <v>630</v>
      </c>
      <c r="AI259" s="3">
        <f>(AF259+AG259+AH259)/W259</f>
        <v>0.88480154888673768</v>
      </c>
      <c r="AJ259" s="1">
        <f>SUM(AJ202:AJ258)</f>
        <v>10</v>
      </c>
      <c r="AK259" s="1">
        <f>SUM(AK202:AK258)</f>
        <v>20</v>
      </c>
      <c r="AL259" s="1">
        <f>SUM(AL202:AL258)</f>
        <v>1</v>
      </c>
      <c r="AM259" s="3">
        <f>(AJ259+AK259+AL259)/W259</f>
        <v>3.0009680542110357E-2</v>
      </c>
    </row>
    <row r="260" spans="1:39" x14ac:dyDescent="0.2">
      <c r="J260" t="str">
        <f ca="1">$Z$1&amp;"-"&amp;O260</f>
        <v>Feb 2025-RGN-4</v>
      </c>
      <c r="N260" t="s">
        <v>98</v>
      </c>
      <c r="O260" t="str">
        <f ca="1">T260&amp;"-"&amp;P260</f>
        <v>RGN-4</v>
      </c>
      <c r="P260">
        <f ca="1">COUNTIFS($T$260:$T$264,T260,$Q$260:$Q$264,"&lt;"&amp;Q260)+1</f>
        <v>4</v>
      </c>
      <c r="Q260">
        <f t="shared" ref="Q260:Q264" ca="1" si="129">S260+(R260/100)</f>
        <v>4.01</v>
      </c>
      <c r="R260">
        <f>COUNTIFS($T$260:$T$264,T260,$V$260:$V$264,"&lt;"&amp;V260)+1</f>
        <v>1</v>
      </c>
      <c r="S260">
        <f ca="1">COUNTIFS($T$260:$T$264,T260,$Y$260:$Y$264,"&gt;"&amp;Y260)+1</f>
        <v>4</v>
      </c>
      <c r="T260" t="s">
        <v>158</v>
      </c>
      <c r="V260" t="s">
        <v>247</v>
      </c>
      <c r="W260" s="1">
        <f ca="1">SUMIF($H$202:W$258,$N260,W$202:W$258)</f>
        <v>217</v>
      </c>
      <c r="X260" s="1">
        <f ca="1">SUMIF($H$202:X$258,$N260,X$202:X$258)</f>
        <v>10</v>
      </c>
      <c r="Y260" s="3">
        <f t="shared" ref="Y260:Y264" ca="1" si="130">X260/W260</f>
        <v>4.6082949308755762E-2</v>
      </c>
      <c r="Z260" s="1">
        <f ca="1">SUMIF($H$202:Z$258,$N260,Z$202:Z$258)</f>
        <v>1</v>
      </c>
      <c r="AA260" s="1">
        <f ca="1">SUMIF($H$202:AA$258,$N260,AA$202:AA$258)</f>
        <v>10</v>
      </c>
      <c r="AB260" s="1">
        <f ca="1">SUMIF($H$202:AB$258,$N260,AB$202:AB$258)</f>
        <v>0</v>
      </c>
      <c r="AC260" s="1">
        <f ca="1">SUMIF($H$202:AC$258,$N260,AC$202:AC$258)</f>
        <v>0</v>
      </c>
      <c r="AD260" s="1">
        <f ca="1">SUMIF($H$202:AD$258,$N260,AD$202:AD$258)</f>
        <v>11</v>
      </c>
      <c r="AE260" s="3">
        <f t="shared" ref="AE260:AE264" ca="1" si="131">AD260/W260</f>
        <v>5.0691244239631339E-2</v>
      </c>
      <c r="AF260" s="1">
        <f ca="1">SUMIF($H$202:AF$258,$N260,AF$202:AF$258)</f>
        <v>68</v>
      </c>
      <c r="AG260" s="1">
        <f ca="1">SUMIF($H$202:AG$258,$N260,AG$202:AG$258)</f>
        <v>0</v>
      </c>
      <c r="AH260" s="1">
        <f ca="1">SUMIF($H$202:AH$258,$N260,AH$202:AH$258)</f>
        <v>131</v>
      </c>
      <c r="AI260" s="3">
        <f t="shared" ref="AI260:AI264" ca="1" si="132">(AF260+AG260+AH260)/W260</f>
        <v>0.91705069124423966</v>
      </c>
      <c r="AJ260" s="1">
        <f ca="1">SUMIF($H$202:AJ$258,$N260,AJ$202:AJ$258)</f>
        <v>0</v>
      </c>
      <c r="AK260" s="1">
        <f ca="1">SUMIF($H$202:AK$258,$N260,AK$202:AK$258)</f>
        <v>7</v>
      </c>
      <c r="AL260" s="1">
        <f ca="1">SUMIF($H$202:AL$258,$N260,AL$202:AL$258)</f>
        <v>0</v>
      </c>
      <c r="AM260" s="3">
        <f t="shared" ref="AM260:AM264" ca="1" si="133">(AJ260+AK260+AL260)/W260</f>
        <v>3.2258064516129031E-2</v>
      </c>
    </row>
    <row r="261" spans="1:39" x14ac:dyDescent="0.2">
      <c r="J261" t="str">
        <f t="shared" ref="J261:J264" ca="1" si="134">$Z$1&amp;"-"&amp;O261</f>
        <v>Feb 2025-RGN-5</v>
      </c>
      <c r="N261" t="s">
        <v>102</v>
      </c>
      <c r="O261" t="str">
        <f t="shared" ref="O261:O264" ca="1" si="135">T261&amp;"-"&amp;P261</f>
        <v>RGN-5</v>
      </c>
      <c r="P261">
        <f ca="1">COUNTIFS($T$260:$T$264,T261,$Q$260:$Q$264,"&lt;"&amp;Q261)+1</f>
        <v>5</v>
      </c>
      <c r="Q261">
        <f t="shared" ca="1" si="129"/>
        <v>5.0199999999999996</v>
      </c>
      <c r="R261">
        <f>COUNTIFS($T$260:$T$264,T261,$V$260:$V$264,"&lt;"&amp;V261)+1</f>
        <v>2</v>
      </c>
      <c r="S261">
        <f ca="1">COUNTIFS($T$260:$T$264,T261,$Y$260:$Y$264,"&gt;"&amp;Y261)+1</f>
        <v>5</v>
      </c>
      <c r="T261" t="s">
        <v>158</v>
      </c>
      <c r="V261" t="s">
        <v>268</v>
      </c>
      <c r="W261" s="1">
        <f ca="1">SUMIF($H$202:W$258,$N261,W$202:W$258)</f>
        <v>174</v>
      </c>
      <c r="X261" s="1">
        <f ca="1">SUMIF($H$202:X$258,$N261,X$202:X$258)</f>
        <v>1</v>
      </c>
      <c r="Y261" s="3">
        <f t="shared" ca="1" si="130"/>
        <v>5.7471264367816091E-3</v>
      </c>
      <c r="Z261" s="1">
        <f ca="1">SUMIF($H$202:Z$258,$N261,Z$202:Z$258)</f>
        <v>0</v>
      </c>
      <c r="AA261" s="1">
        <f ca="1">SUMIF($H$202:AA$258,$N261,AA$202:AA$258)</f>
        <v>1</v>
      </c>
      <c r="AB261" s="1">
        <f ca="1">SUMIF($H$202:AB$258,$N261,AB$202:AB$258)</f>
        <v>0</v>
      </c>
      <c r="AC261" s="1">
        <f ca="1">SUMIF($H$202:AC$258,$N261,AC$202:AC$258)</f>
        <v>1</v>
      </c>
      <c r="AD261" s="1">
        <f ca="1">SUMIF($H$202:AD$258,$N261,AD$202:AD$258)</f>
        <v>2</v>
      </c>
      <c r="AE261" s="3">
        <f t="shared" ca="1" si="131"/>
        <v>1.1494252873563218E-2</v>
      </c>
      <c r="AF261" s="1">
        <f ca="1">SUMIF($H$202:AF$258,$N261,AF$202:AF$258)</f>
        <v>60</v>
      </c>
      <c r="AG261" s="1">
        <f ca="1">SUMIF($H$202:AG$258,$N261,AG$202:AG$258)</f>
        <v>0</v>
      </c>
      <c r="AH261" s="1">
        <f ca="1">SUMIF($H$202:AH$258,$N261,AH$202:AH$258)</f>
        <v>109</v>
      </c>
      <c r="AI261" s="3">
        <f t="shared" ca="1" si="132"/>
        <v>0.97126436781609193</v>
      </c>
      <c r="AJ261" s="1">
        <f ca="1">SUMIF($H$202:AJ$258,$N261,AJ$202:AJ$258)</f>
        <v>2</v>
      </c>
      <c r="AK261" s="1">
        <f ca="1">SUMIF($H$202:AK$258,$N261,AK$202:AK$258)</f>
        <v>1</v>
      </c>
      <c r="AL261" s="1">
        <f ca="1">SUMIF($H$202:AL$258,$N261,AL$202:AL$258)</f>
        <v>0</v>
      </c>
      <c r="AM261" s="3">
        <f t="shared" ca="1" si="133"/>
        <v>1.7241379310344827E-2</v>
      </c>
    </row>
    <row r="262" spans="1:39" x14ac:dyDescent="0.2">
      <c r="J262" t="str">
        <f t="shared" ca="1" si="134"/>
        <v>Feb 2025-RGN-1</v>
      </c>
      <c r="N262" t="s">
        <v>100</v>
      </c>
      <c r="O262" t="str">
        <f t="shared" ca="1" si="135"/>
        <v>RGN-1</v>
      </c>
      <c r="P262">
        <f ca="1">COUNTIFS($T$260:$T$264,T262,$Q$260:$Q$264,"&lt;"&amp;Q262)+1</f>
        <v>1</v>
      </c>
      <c r="Q262">
        <f t="shared" ca="1" si="129"/>
        <v>1.03</v>
      </c>
      <c r="R262">
        <f>COUNTIFS($T$260:$T$264,T262,$V$260:$V$264,"&lt;"&amp;V262)+1</f>
        <v>3</v>
      </c>
      <c r="S262">
        <f ca="1">COUNTIFS($T$260:$T$264,T262,$Y$260:$Y$264,"&gt;"&amp;Y262)+1</f>
        <v>1</v>
      </c>
      <c r="T262" t="s">
        <v>158</v>
      </c>
      <c r="V262" t="s">
        <v>251</v>
      </c>
      <c r="W262" s="1">
        <f ca="1">SUMIF($H$202:W$258,$N262,W$202:W$258)</f>
        <v>276</v>
      </c>
      <c r="X262" s="1">
        <f ca="1">SUMIF($H$202:X$258,$N262,X$202:X$258)</f>
        <v>30</v>
      </c>
      <c r="Y262" s="3">
        <f t="shared" ca="1" si="130"/>
        <v>0.10869565217391304</v>
      </c>
      <c r="Z262" s="1">
        <f ca="1">SUMIF($H$202:Z$258,$N262,Z$202:Z$258)</f>
        <v>1</v>
      </c>
      <c r="AA262" s="1">
        <f ca="1">SUMIF($H$202:AA$258,$N262,AA$202:AA$258)</f>
        <v>30</v>
      </c>
      <c r="AB262" s="1">
        <f ca="1">SUMIF($H$202:AB$258,$N262,AB$202:AB$258)</f>
        <v>1</v>
      </c>
      <c r="AC262" s="1">
        <f ca="1">SUMIF($H$202:AC$258,$N262,AC$202:AC$258)</f>
        <v>1</v>
      </c>
      <c r="AD262" s="1">
        <f ca="1">SUMIF($H$202:AD$258,$N262,AD$202:AD$258)</f>
        <v>33</v>
      </c>
      <c r="AE262" s="3">
        <f t="shared" ca="1" si="131"/>
        <v>0.11956521739130435</v>
      </c>
      <c r="AF262" s="1">
        <f ca="1">SUMIF($H$202:AF$258,$N262,AF$202:AF$258)</f>
        <v>75</v>
      </c>
      <c r="AG262" s="1">
        <f ca="1">SUMIF($H$202:AG$258,$N262,AG$202:AG$258)</f>
        <v>10</v>
      </c>
      <c r="AH262" s="1">
        <f ca="1">SUMIF($H$202:AH$258,$N262,AH$202:AH$258)</f>
        <v>148</v>
      </c>
      <c r="AI262" s="3">
        <f t="shared" ca="1" si="132"/>
        <v>0.84420289855072461</v>
      </c>
      <c r="AJ262" s="1">
        <f ca="1">SUMIF($H$202:AJ$258,$N262,AJ$202:AJ$258)</f>
        <v>7</v>
      </c>
      <c r="AK262" s="1">
        <f ca="1">SUMIF($H$202:AK$258,$N262,AK$202:AK$258)</f>
        <v>2</v>
      </c>
      <c r="AL262" s="1">
        <f ca="1">SUMIF($H$202:AL$258,$N262,AL$202:AL$258)</f>
        <v>1</v>
      </c>
      <c r="AM262" s="3">
        <f t="shared" ca="1" si="133"/>
        <v>3.6231884057971016E-2</v>
      </c>
    </row>
    <row r="263" spans="1:39" x14ac:dyDescent="0.2">
      <c r="J263" t="str">
        <f t="shared" ca="1" si="134"/>
        <v>Feb 2025-RGN-3</v>
      </c>
      <c r="N263" t="s">
        <v>99</v>
      </c>
      <c r="O263" t="str">
        <f t="shared" ca="1" si="135"/>
        <v>RGN-3</v>
      </c>
      <c r="P263">
        <f ca="1">COUNTIFS($T$260:$T$264,T263,$Q$260:$Q$264,"&lt;"&amp;Q263)+1</f>
        <v>3</v>
      </c>
      <c r="Q263">
        <f t="shared" ca="1" si="129"/>
        <v>3.04</v>
      </c>
      <c r="R263">
        <f>COUNTIFS($T$260:$T$264,T263,$V$260:$V$264,"&lt;"&amp;V263)+1</f>
        <v>4</v>
      </c>
      <c r="S263">
        <f ca="1">COUNTIFS($T$260:$T$264,T263,$Y$260:$Y$264,"&gt;"&amp;Y263)+1</f>
        <v>3</v>
      </c>
      <c r="T263" t="s">
        <v>158</v>
      </c>
      <c r="V263" t="s">
        <v>269</v>
      </c>
      <c r="W263" s="1">
        <f ca="1">SUMIF($H$202:W$258,$N263,W$202:W$258)</f>
        <v>217</v>
      </c>
      <c r="X263" s="1">
        <f ca="1">SUMIF($H$202:X$258,$N263,X$202:X$258)</f>
        <v>17</v>
      </c>
      <c r="Y263" s="3">
        <f t="shared" ca="1" si="130"/>
        <v>7.8341013824884786E-2</v>
      </c>
      <c r="Z263" s="1">
        <f ca="1">SUMIF($H$202:Z$258,$N263,Z$202:Z$258)</f>
        <v>0</v>
      </c>
      <c r="AA263" s="1">
        <f ca="1">SUMIF($H$202:AA$258,$N263,AA$202:AA$258)</f>
        <v>17</v>
      </c>
      <c r="AB263" s="1">
        <f ca="1">SUMIF($H$202:AB$258,$N263,AB$202:AB$258)</f>
        <v>0</v>
      </c>
      <c r="AC263" s="1">
        <f ca="1">SUMIF($H$202:AC$258,$N263,AC$202:AC$258)</f>
        <v>2</v>
      </c>
      <c r="AD263" s="1">
        <f ca="1">SUMIF($H$202:AD$258,$N263,AD$202:AD$258)</f>
        <v>19</v>
      </c>
      <c r="AE263" s="3">
        <f t="shared" ca="1" si="131"/>
        <v>8.755760368663594E-2</v>
      </c>
      <c r="AF263" s="1">
        <f ca="1">SUMIF($H$202:AF$258,$N263,AF$202:AF$258)</f>
        <v>25</v>
      </c>
      <c r="AG263" s="1">
        <f ca="1">SUMIF($H$202:AG$258,$N263,AG$202:AG$258)</f>
        <v>0</v>
      </c>
      <c r="AH263" s="1">
        <f ca="1">SUMIF($H$202:AH$258,$N263,AH$202:AH$258)</f>
        <v>168</v>
      </c>
      <c r="AI263" s="3">
        <f t="shared" ca="1" si="132"/>
        <v>0.88940092165898621</v>
      </c>
      <c r="AJ263" s="1">
        <f ca="1">SUMIF($H$202:AJ$258,$N263,AJ$202:AJ$258)</f>
        <v>1</v>
      </c>
      <c r="AK263" s="1">
        <f ca="1">SUMIF($H$202:AK$258,$N263,AK$202:AK$258)</f>
        <v>4</v>
      </c>
      <c r="AL263" s="1">
        <f ca="1">SUMIF($H$202:AL$258,$N263,AL$202:AL$258)</f>
        <v>0</v>
      </c>
      <c r="AM263" s="3">
        <f t="shared" ca="1" si="133"/>
        <v>2.3041474654377881E-2</v>
      </c>
    </row>
    <row r="264" spans="1:39" x14ac:dyDescent="0.2">
      <c r="J264" t="str">
        <f t="shared" ca="1" si="134"/>
        <v>Feb 2025-RGN-2</v>
      </c>
      <c r="N264" t="s">
        <v>101</v>
      </c>
      <c r="O264" t="str">
        <f t="shared" ca="1" si="135"/>
        <v>RGN-2</v>
      </c>
      <c r="P264">
        <f ca="1">COUNTIFS($T$260:$T$264,T264,$Q$260:$Q$264,"&lt;"&amp;Q264)+1</f>
        <v>2</v>
      </c>
      <c r="Q264">
        <f t="shared" ca="1" si="129"/>
        <v>2.0499999999999998</v>
      </c>
      <c r="R264">
        <f>COUNTIFS($T$260:$T$264,T264,$V$260:$V$264,"&lt;"&amp;V264)+1</f>
        <v>5</v>
      </c>
      <c r="S264">
        <f ca="1">COUNTIFS($T$260:$T$264,T264,$Y$260:$Y$264,"&gt;"&amp;Y264)+1</f>
        <v>2</v>
      </c>
      <c r="T264" t="s">
        <v>158</v>
      </c>
      <c r="V264" t="s">
        <v>252</v>
      </c>
      <c r="W264" s="1">
        <f ca="1">SUMIF($H$202:W$258,$N264,W$202:W$258)</f>
        <v>149</v>
      </c>
      <c r="X264" s="1">
        <f ca="1">SUMIF($H$202:X$258,$N264,X$202:X$258)</f>
        <v>16</v>
      </c>
      <c r="Y264" s="3">
        <f t="shared" ca="1" si="130"/>
        <v>0.10738255033557047</v>
      </c>
      <c r="Z264" s="1">
        <f ca="1">SUMIF($H$202:Z$258,$N264,Z$202:Z$258)</f>
        <v>4</v>
      </c>
      <c r="AA264" s="1">
        <f ca="1">SUMIF($H$202:AA$258,$N264,AA$202:AA$258)</f>
        <v>16</v>
      </c>
      <c r="AB264" s="1">
        <f ca="1">SUMIF($H$202:AB$258,$N264,AB$202:AB$258)</f>
        <v>0</v>
      </c>
      <c r="AC264" s="1">
        <f ca="1">SUMIF($H$202:AC$258,$N264,AC$202:AC$258)</f>
        <v>3</v>
      </c>
      <c r="AD264" s="1">
        <f ca="1">SUMIF($H$202:AD$258,$N264,AD$202:AD$258)</f>
        <v>23</v>
      </c>
      <c r="AE264" s="3">
        <f t="shared" ca="1" si="131"/>
        <v>0.15436241610738255</v>
      </c>
      <c r="AF264" s="1">
        <f ca="1">SUMIF($H$202:AF$258,$N264,AF$202:AF$258)</f>
        <v>46</v>
      </c>
      <c r="AG264" s="1">
        <f ca="1">SUMIF($H$202:AG$258,$N264,AG$202:AG$258)</f>
        <v>0</v>
      </c>
      <c r="AH264" s="1">
        <f ca="1">SUMIF($H$202:AH$258,$N264,AH$202:AH$258)</f>
        <v>74</v>
      </c>
      <c r="AI264" s="3">
        <f t="shared" ca="1" si="132"/>
        <v>0.80536912751677847</v>
      </c>
      <c r="AJ264" s="1">
        <f ca="1">SUMIF($H$202:AJ$258,$N264,AJ$202:AJ$258)</f>
        <v>0</v>
      </c>
      <c r="AK264" s="1">
        <f ca="1">SUMIF($H$202:AK$258,$N264,AK$202:AK$258)</f>
        <v>6</v>
      </c>
      <c r="AL264" s="1">
        <f ca="1">SUMIF($H$202:AL$258,$N264,AL$202:AL$258)</f>
        <v>0</v>
      </c>
      <c r="AM264" s="3">
        <f t="shared" ca="1" si="133"/>
        <v>4.0268456375838924E-2</v>
      </c>
    </row>
    <row r="266" spans="1:39" ht="16" customHeight="1" x14ac:dyDescent="0.2">
      <c r="A266" s="2"/>
      <c r="B266" s="2"/>
      <c r="C266" s="86" t="str">
        <f>AA1</f>
        <v>Mar 2025</v>
      </c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</row>
    <row r="267" spans="1:39" x14ac:dyDescent="0.2">
      <c r="A267" s="2"/>
      <c r="B267" s="2" t="s">
        <v>105</v>
      </c>
      <c r="C267" s="2"/>
      <c r="D267" s="2"/>
      <c r="E267" s="2"/>
      <c r="F267" s="2"/>
      <c r="G267" s="2"/>
      <c r="H267" s="2"/>
      <c r="I267" s="2" t="s">
        <v>103</v>
      </c>
      <c r="J267" s="2"/>
      <c r="K267" s="2"/>
      <c r="L267" s="2"/>
      <c r="M267" s="2"/>
      <c r="N267" s="2"/>
      <c r="O267" s="2" t="s">
        <v>104</v>
      </c>
      <c r="P267" s="2"/>
      <c r="Q267" s="2"/>
      <c r="R267" s="2"/>
      <c r="S267" s="2"/>
      <c r="T267" s="2"/>
      <c r="U267" s="2"/>
      <c r="V267" s="2" t="s">
        <v>0</v>
      </c>
      <c r="W267" s="2" t="s">
        <v>2</v>
      </c>
      <c r="X267" s="2" t="s">
        <v>75</v>
      </c>
      <c r="Y267" s="2" t="s">
        <v>218</v>
      </c>
      <c r="Z267" s="2" t="s">
        <v>74</v>
      </c>
      <c r="AA267" s="2" t="s">
        <v>75</v>
      </c>
      <c r="AB267" s="2" t="s">
        <v>76</v>
      </c>
      <c r="AC267" s="2" t="s">
        <v>77</v>
      </c>
      <c r="AD267" s="2" t="s">
        <v>3</v>
      </c>
      <c r="AE267" s="2" t="s">
        <v>1</v>
      </c>
      <c r="AF267" s="2" t="s">
        <v>4</v>
      </c>
      <c r="AG267" s="2" t="s">
        <v>5</v>
      </c>
      <c r="AH267" s="2" t="s">
        <v>6</v>
      </c>
      <c r="AI267" s="2" t="s">
        <v>7</v>
      </c>
      <c r="AJ267" s="2" t="s">
        <v>78</v>
      </c>
      <c r="AK267" s="2" t="s">
        <v>79</v>
      </c>
      <c r="AL267" s="2" t="s">
        <v>80</v>
      </c>
      <c r="AM267" s="2" t="s">
        <v>8</v>
      </c>
    </row>
    <row r="268" spans="1:39" x14ac:dyDescent="0.2">
      <c r="B268" t="str">
        <f>IF(V268="","",H268&amp;"-"&amp;D268)</f>
        <v>AZ-6</v>
      </c>
      <c r="C268" t="str">
        <f>IF(V268="","",$W$1&amp;"-"&amp;B268)</f>
        <v>Nov 2024-AZ-6</v>
      </c>
      <c r="D268">
        <f>IF(V268="","",COUNTIFS($H$268:$H$324,H268,$E$268:$E$324,"&lt;"&amp;E268)+1)</f>
        <v>6</v>
      </c>
      <c r="E268">
        <f>IF(V268="","",G268+(F268/100))</f>
        <v>4.01</v>
      </c>
      <c r="F268">
        <f>IF(V268="","",COUNTIFS($H$268:$H$324,H268,$V$268:$V$324,"&lt;"&amp;V268)+1)</f>
        <v>1</v>
      </c>
      <c r="G268">
        <f>IF(V268="","",COUNTIFS($H$268:$H$324,H268,$Y$268:$Y$324,"&gt;"&amp;Y268)+1)</f>
        <v>4</v>
      </c>
      <c r="H268" t="str">
        <f>IF(V268="","",IFERROR(VLOOKUP(TRIM($V268),KEY!$B$2:$E$58,3,FALSE),""))</f>
        <v>AZ</v>
      </c>
      <c r="I268" t="str">
        <f>IF(V268="","","WEST-"&amp;K268)</f>
        <v>WEST-13</v>
      </c>
      <c r="J268" t="str">
        <f>IF(V268="","",$AA$1&amp;"-"&amp;I268)</f>
        <v>Mar 2025-WEST-13</v>
      </c>
      <c r="K268">
        <f>IFERROR(IF(V268="","",RANK(L268,$L$268:$L$324,1)),"-")</f>
        <v>13</v>
      </c>
      <c r="L268">
        <f>IFERROR(IF(V268="","",N268+(M268/100)),"-")</f>
        <v>13.01</v>
      </c>
      <c r="M268">
        <f>IF(V268="","",IFERROR(VLOOKUP(TRIM($V268),KEY!$B$2:$E$58,4,FALSE),""))</f>
        <v>1</v>
      </c>
      <c r="N268">
        <f>IFERROR(IF(V268="","",RANK(Y268,$Y$268:$Y$324)),"-")</f>
        <v>13</v>
      </c>
      <c r="O268" t="str">
        <f>IF(V268="","",T268&amp;"-"&amp;P268)</f>
        <v>AC-1</v>
      </c>
      <c r="P268">
        <f>IF(V268="","",COUNTIFS($T$268:$T$324,T268,$Q$268:$Q$324,"&lt;"&amp;Q268)+1)</f>
        <v>1</v>
      </c>
      <c r="Q268">
        <f>IF(V268="","",S268+(R268/100))</f>
        <v>1.01</v>
      </c>
      <c r="R268">
        <f>IF(V268="","",COUNTIFS($T$268:$T$324,T268,$V$268:$V$324,"&lt;"&amp;V268)+1)</f>
        <v>1</v>
      </c>
      <c r="S268">
        <f>IF(V268="","",COUNTIFS($T$268:$T$324,T268,$Y$268:$Y$324,"&gt;"&amp;Y268)+1)</f>
        <v>1</v>
      </c>
      <c r="T268" t="str">
        <f>IF(V268="","",IFERROR(VLOOKUP(TRIM($V268),KEY!$B$2:$E$58,2,FALSE),""))</f>
        <v>AC</v>
      </c>
      <c r="V268" s="64" t="s">
        <v>9</v>
      </c>
      <c r="W268" s="64">
        <v>16</v>
      </c>
      <c r="X268" s="64">
        <v>0</v>
      </c>
      <c r="Y268" s="64">
        <v>0</v>
      </c>
      <c r="Z268" s="64">
        <v>0</v>
      </c>
      <c r="AA268" s="64">
        <v>0</v>
      </c>
      <c r="AB268" s="64">
        <v>0</v>
      </c>
      <c r="AC268" s="64">
        <v>0</v>
      </c>
      <c r="AD268" s="64">
        <v>0</v>
      </c>
      <c r="AE268" s="64">
        <v>0</v>
      </c>
      <c r="AF268" s="64">
        <v>0</v>
      </c>
      <c r="AG268" s="64">
        <v>0</v>
      </c>
      <c r="AH268" s="64">
        <v>16</v>
      </c>
      <c r="AI268" s="64">
        <v>1</v>
      </c>
      <c r="AJ268" s="64">
        <v>0</v>
      </c>
      <c r="AK268" s="64">
        <v>0</v>
      </c>
      <c r="AL268" s="64">
        <v>0</v>
      </c>
      <c r="AM268" s="64">
        <v>0</v>
      </c>
    </row>
    <row r="269" spans="1:39" x14ac:dyDescent="0.2">
      <c r="B269" t="str">
        <f t="shared" ref="B269:B324" si="136">IF(V269="","",H269&amp;"-"&amp;D269)</f>
        <v>SoCal-4</v>
      </c>
      <c r="C269" t="str">
        <f t="shared" ref="C269:C324" si="137">IF(V269="","",$W$1&amp;"-"&amp;B269)</f>
        <v>Nov 2024-SoCal-4</v>
      </c>
      <c r="D269">
        <f t="shared" ref="D269:D324" si="138">IF(V269="","",COUNTIFS($H$268:$H$324,H269,$E$268:$E$324,"&lt;"&amp;E269)+1)</f>
        <v>4</v>
      </c>
      <c r="E269">
        <f t="shared" ref="E269:E324" si="139">IF(V269="","",G269+(F269/100))</f>
        <v>4.01</v>
      </c>
      <c r="F269">
        <f t="shared" ref="F269:F324" si="140">IF(V269="","",COUNTIFS($H$268:$H$324,H269,$V$268:$V$324,"&lt;"&amp;V269)+1)</f>
        <v>1</v>
      </c>
      <c r="G269">
        <f t="shared" ref="G269:G324" si="141">IF(V269="","",COUNTIFS($H$268:$H$324,H269,$Y$268:$Y$324,"&gt;"&amp;Y269)+1)</f>
        <v>4</v>
      </c>
      <c r="H269" t="str">
        <f>IF(V269="","",IFERROR(VLOOKUP(TRIM($V269),KEY!$B$2:$E$58,3,FALSE),""))</f>
        <v>SoCal</v>
      </c>
      <c r="I269" t="str">
        <f t="shared" ref="I269:I324" si="142">IF(V269="","","WEST-"&amp;K269)</f>
        <v>WEST-14</v>
      </c>
      <c r="J269" t="str">
        <f t="shared" ref="J269:J324" si="143">IF(V269="","",$AA$1&amp;"-"&amp;I269)</f>
        <v>Mar 2025-WEST-14</v>
      </c>
      <c r="K269">
        <f t="shared" ref="K269:K324" si="144">IFERROR(IF(V269="","",RANK(L269,$L$268:$L$324,1)),"-")</f>
        <v>14</v>
      </c>
      <c r="L269">
        <f t="shared" ref="L269:L324" si="145">IFERROR(IF(V269="","",N269+(M269/100)),"-")</f>
        <v>13.02</v>
      </c>
      <c r="M269">
        <f>IF(V269="","",IFERROR(VLOOKUP(TRIM($V269),KEY!$B$2:$E$58,4,FALSE),""))</f>
        <v>2</v>
      </c>
      <c r="N269">
        <f t="shared" ref="N269:N324" si="146">IFERROR(IF(V269="","",RANK(Y269,$Y$268:$Y$324)),"-")</f>
        <v>13</v>
      </c>
      <c r="O269" t="str">
        <f t="shared" ref="O269:O324" si="147">IF(V269="","",T269&amp;"-"&amp;P269)</f>
        <v>AC-2</v>
      </c>
      <c r="P269">
        <f t="shared" ref="P269:P324" si="148">IF(V269="","",COUNTIFS($T$268:$T$324,T269,$Q$268:$Q$324,"&lt;"&amp;Q269)+1)</f>
        <v>2</v>
      </c>
      <c r="Q269">
        <f t="shared" ref="Q269:Q324" si="149">IF(V269="","",S269+(R269/100))</f>
        <v>1.02</v>
      </c>
      <c r="R269">
        <f t="shared" ref="R269:R324" si="150">IF(V269="","",COUNTIFS($T$268:$T$324,T269,$V$268:$V$324,"&lt;"&amp;V269)+1)</f>
        <v>2</v>
      </c>
      <c r="S269">
        <f t="shared" ref="S269:S324" si="151">IF(V269="","",COUNTIFS($T$268:$T$324,T269,$Y$268:$Y$324,"&gt;"&amp;Y269)+1)</f>
        <v>1</v>
      </c>
      <c r="T269" t="str">
        <f>IF(V269="","",IFERROR(VLOOKUP(TRIM($V269),KEY!$B$2:$E$58,2,FALSE),""))</f>
        <v>AC</v>
      </c>
      <c r="V269" s="64" t="s">
        <v>10</v>
      </c>
      <c r="W269" s="64">
        <v>9</v>
      </c>
      <c r="X269" s="64">
        <v>0</v>
      </c>
      <c r="Y269" s="64">
        <v>0</v>
      </c>
      <c r="Z269" s="64">
        <v>0</v>
      </c>
      <c r="AA269" s="64">
        <v>0</v>
      </c>
      <c r="AB269" s="64">
        <v>0</v>
      </c>
      <c r="AC269" s="64">
        <v>0</v>
      </c>
      <c r="AD269" s="64">
        <v>0</v>
      </c>
      <c r="AE269" s="64">
        <v>0</v>
      </c>
      <c r="AF269" s="64">
        <v>0</v>
      </c>
      <c r="AG269" s="64">
        <v>0</v>
      </c>
      <c r="AH269" s="64">
        <v>9</v>
      </c>
      <c r="AI269" s="64">
        <v>1</v>
      </c>
      <c r="AJ269" s="64">
        <v>0</v>
      </c>
      <c r="AK269" s="64">
        <v>0</v>
      </c>
      <c r="AL269" s="64">
        <v>0</v>
      </c>
      <c r="AM269" s="64">
        <v>0</v>
      </c>
    </row>
    <row r="270" spans="1:39" x14ac:dyDescent="0.2">
      <c r="B270" t="str">
        <f t="shared" si="136"/>
        <v>AZ-7</v>
      </c>
      <c r="C270" t="str">
        <f t="shared" si="137"/>
        <v>Nov 2024-AZ-7</v>
      </c>
      <c r="D270">
        <f t="shared" si="138"/>
        <v>7</v>
      </c>
      <c r="E270">
        <f t="shared" si="139"/>
        <v>4.0199999999999996</v>
      </c>
      <c r="F270">
        <f t="shared" si="140"/>
        <v>2</v>
      </c>
      <c r="G270">
        <f t="shared" si="141"/>
        <v>4</v>
      </c>
      <c r="H270" t="str">
        <f>IF(V270="","",IFERROR(VLOOKUP(TRIM($V270),KEY!$B$2:$E$58,3,FALSE),""))</f>
        <v>AZ</v>
      </c>
      <c r="I270" t="str">
        <f t="shared" si="142"/>
        <v>WEST-15</v>
      </c>
      <c r="J270" t="str">
        <f t="shared" si="143"/>
        <v>Mar 2025-WEST-15</v>
      </c>
      <c r="K270">
        <f t="shared" si="144"/>
        <v>15</v>
      </c>
      <c r="L270">
        <f t="shared" si="145"/>
        <v>13.03</v>
      </c>
      <c r="M270">
        <f>IF(V270="","",IFERROR(VLOOKUP(TRIM($V270),KEY!$B$2:$E$58,4,FALSE),""))</f>
        <v>3</v>
      </c>
      <c r="N270">
        <f t="shared" si="146"/>
        <v>13</v>
      </c>
      <c r="O270" t="str">
        <f t="shared" si="147"/>
        <v>AU-3</v>
      </c>
      <c r="P270">
        <f t="shared" si="148"/>
        <v>3</v>
      </c>
      <c r="Q270">
        <f t="shared" si="149"/>
        <v>3.01</v>
      </c>
      <c r="R270">
        <f t="shared" si="150"/>
        <v>1</v>
      </c>
      <c r="S270">
        <f t="shared" si="151"/>
        <v>3</v>
      </c>
      <c r="T270" t="str">
        <f>IF(V270="","",IFERROR(VLOOKUP(TRIM($V270),KEY!$B$2:$E$58,2,FALSE),""))</f>
        <v>AU</v>
      </c>
      <c r="V270" s="64" t="s">
        <v>11</v>
      </c>
      <c r="W270" s="64">
        <v>5</v>
      </c>
      <c r="X270" s="64">
        <v>0</v>
      </c>
      <c r="Y270" s="64">
        <v>0</v>
      </c>
      <c r="Z270" s="64">
        <v>0</v>
      </c>
      <c r="AA270" s="64">
        <v>0</v>
      </c>
      <c r="AB270" s="64">
        <v>0</v>
      </c>
      <c r="AC270" s="64">
        <v>0</v>
      </c>
      <c r="AD270" s="64">
        <v>0</v>
      </c>
      <c r="AE270" s="64">
        <v>0</v>
      </c>
      <c r="AF270" s="64">
        <v>0</v>
      </c>
      <c r="AG270" s="64">
        <v>0</v>
      </c>
      <c r="AH270" s="64">
        <v>5</v>
      </c>
      <c r="AI270" s="64">
        <v>1</v>
      </c>
      <c r="AJ270" s="64">
        <v>0</v>
      </c>
      <c r="AK270" s="64">
        <v>0</v>
      </c>
      <c r="AL270" s="64">
        <v>0</v>
      </c>
      <c r="AM270" s="64">
        <v>0</v>
      </c>
    </row>
    <row r="271" spans="1:39" x14ac:dyDescent="0.2">
      <c r="B271" t="str">
        <f t="shared" si="136"/>
        <v>SoCal-5</v>
      </c>
      <c r="C271" t="str">
        <f t="shared" si="137"/>
        <v>Nov 2024-SoCal-5</v>
      </c>
      <c r="D271">
        <f t="shared" si="138"/>
        <v>5</v>
      </c>
      <c r="E271">
        <f t="shared" si="139"/>
        <v>4.0199999999999996</v>
      </c>
      <c r="F271">
        <f t="shared" si="140"/>
        <v>2</v>
      </c>
      <c r="G271">
        <f t="shared" si="141"/>
        <v>4</v>
      </c>
      <c r="H271" t="str">
        <f>IF(V271="","",IFERROR(VLOOKUP(TRIM($V271),KEY!$B$2:$E$58,3,FALSE),""))</f>
        <v>SoCal</v>
      </c>
      <c r="I271" t="str">
        <f t="shared" si="142"/>
        <v>WEST-16</v>
      </c>
      <c r="J271" t="str">
        <f t="shared" si="143"/>
        <v>Mar 2025-WEST-16</v>
      </c>
      <c r="K271">
        <f t="shared" si="144"/>
        <v>16</v>
      </c>
      <c r="L271">
        <f t="shared" si="145"/>
        <v>13.04</v>
      </c>
      <c r="M271">
        <f>IF(V271="","",IFERROR(VLOOKUP(TRIM($V271),KEY!$B$2:$E$58,4,FALSE),""))</f>
        <v>4</v>
      </c>
      <c r="N271">
        <f t="shared" si="146"/>
        <v>13</v>
      </c>
      <c r="O271" t="str">
        <f t="shared" si="147"/>
        <v>AU-4</v>
      </c>
      <c r="P271">
        <f t="shared" si="148"/>
        <v>4</v>
      </c>
      <c r="Q271">
        <f t="shared" si="149"/>
        <v>3.02</v>
      </c>
      <c r="R271">
        <f t="shared" si="150"/>
        <v>2</v>
      </c>
      <c r="S271">
        <f t="shared" si="151"/>
        <v>3</v>
      </c>
      <c r="T271" t="str">
        <f>IF(V271="","",IFERROR(VLOOKUP(TRIM($V271),KEY!$B$2:$E$58,2,FALSE),""))</f>
        <v>AU</v>
      </c>
      <c r="V271" s="64" t="s">
        <v>12</v>
      </c>
      <c r="W271" s="64">
        <v>28</v>
      </c>
      <c r="X271" s="64">
        <v>0</v>
      </c>
      <c r="Y271" s="64">
        <v>0</v>
      </c>
      <c r="Z271" s="64">
        <v>0</v>
      </c>
      <c r="AA271" s="64">
        <v>0</v>
      </c>
      <c r="AB271" s="64">
        <v>0</v>
      </c>
      <c r="AC271" s="64">
        <v>0</v>
      </c>
      <c r="AD271" s="64">
        <v>0</v>
      </c>
      <c r="AE271" s="64">
        <v>0</v>
      </c>
      <c r="AF271" s="64">
        <v>0</v>
      </c>
      <c r="AG271" s="64">
        <v>0</v>
      </c>
      <c r="AH271" s="64">
        <v>28</v>
      </c>
      <c r="AI271" s="64">
        <v>1</v>
      </c>
      <c r="AJ271" s="64">
        <v>0</v>
      </c>
      <c r="AK271" s="64">
        <v>0</v>
      </c>
      <c r="AL271" s="64">
        <v>0</v>
      </c>
      <c r="AM271" s="64">
        <v>0</v>
      </c>
    </row>
    <row r="272" spans="1:39" x14ac:dyDescent="0.2">
      <c r="B272" t="str">
        <f t="shared" si="136"/>
        <v>OC-4</v>
      </c>
      <c r="C272" t="str">
        <f t="shared" si="137"/>
        <v>Nov 2024-OC-4</v>
      </c>
      <c r="D272">
        <f t="shared" si="138"/>
        <v>4</v>
      </c>
      <c r="E272">
        <f t="shared" si="139"/>
        <v>3.01</v>
      </c>
      <c r="F272">
        <f t="shared" si="140"/>
        <v>1</v>
      </c>
      <c r="G272">
        <f t="shared" si="141"/>
        <v>3</v>
      </c>
      <c r="H272" t="str">
        <f>IF(V272="","",IFERROR(VLOOKUP(TRIM($V272),KEY!$B$2:$E$58,3,FALSE),""))</f>
        <v>OC</v>
      </c>
      <c r="I272" t="str">
        <f t="shared" si="142"/>
        <v>WEST-17</v>
      </c>
      <c r="J272" t="str">
        <f t="shared" si="143"/>
        <v>Mar 2025-WEST-17</v>
      </c>
      <c r="K272">
        <f t="shared" si="144"/>
        <v>17</v>
      </c>
      <c r="L272">
        <f t="shared" si="145"/>
        <v>13.05</v>
      </c>
      <c r="M272">
        <f>IF(V272="","",IFERROR(VLOOKUP(TRIM($V272),KEY!$B$2:$E$58,4,FALSE),""))</f>
        <v>5</v>
      </c>
      <c r="N272">
        <f t="shared" si="146"/>
        <v>13</v>
      </c>
      <c r="O272" t="str">
        <f t="shared" si="147"/>
        <v>AU-5</v>
      </c>
      <c r="P272">
        <f t="shared" si="148"/>
        <v>5</v>
      </c>
      <c r="Q272">
        <f t="shared" si="149"/>
        <v>3.03</v>
      </c>
      <c r="R272">
        <f t="shared" si="150"/>
        <v>3</v>
      </c>
      <c r="S272">
        <f t="shared" si="151"/>
        <v>3</v>
      </c>
      <c r="T272" t="str">
        <f>IF(V272="","",IFERROR(VLOOKUP(TRIM($V272),KEY!$B$2:$E$58,2,FALSE),""))</f>
        <v>AU</v>
      </c>
      <c r="V272" s="64" t="s">
        <v>240</v>
      </c>
      <c r="W272" s="64">
        <v>3</v>
      </c>
      <c r="X272" s="64">
        <v>0</v>
      </c>
      <c r="Y272" s="64">
        <v>0</v>
      </c>
      <c r="Z272" s="64">
        <v>0</v>
      </c>
      <c r="AA272" s="64">
        <v>0</v>
      </c>
      <c r="AB272" s="64">
        <v>0</v>
      </c>
      <c r="AC272" s="64">
        <v>0</v>
      </c>
      <c r="AD272" s="64">
        <v>0</v>
      </c>
      <c r="AE272" s="64">
        <v>0</v>
      </c>
      <c r="AF272" s="64">
        <v>3</v>
      </c>
      <c r="AG272" s="64">
        <v>0</v>
      </c>
      <c r="AH272" s="64">
        <v>0</v>
      </c>
      <c r="AI272" s="64">
        <v>1</v>
      </c>
      <c r="AJ272" s="64">
        <v>0</v>
      </c>
      <c r="AK272" s="64">
        <v>0</v>
      </c>
      <c r="AL272" s="64">
        <v>0</v>
      </c>
      <c r="AM272" s="64">
        <v>0</v>
      </c>
    </row>
    <row r="273" spans="2:39" x14ac:dyDescent="0.2">
      <c r="B273" t="str">
        <f t="shared" si="136"/>
        <v>AZ-8</v>
      </c>
      <c r="C273" t="str">
        <f t="shared" si="137"/>
        <v>Nov 2024-AZ-8</v>
      </c>
      <c r="D273">
        <f t="shared" si="138"/>
        <v>8</v>
      </c>
      <c r="E273">
        <f t="shared" si="139"/>
        <v>4.03</v>
      </c>
      <c r="F273">
        <f t="shared" si="140"/>
        <v>3</v>
      </c>
      <c r="G273">
        <f t="shared" si="141"/>
        <v>4</v>
      </c>
      <c r="H273" t="str">
        <f>IF(V273="","",IFERROR(VLOOKUP(TRIM($V273),KEY!$B$2:$E$58,3,FALSE),""))</f>
        <v>AZ</v>
      </c>
      <c r="I273" t="str">
        <f t="shared" si="142"/>
        <v>WEST-18</v>
      </c>
      <c r="J273" t="str">
        <f t="shared" si="143"/>
        <v>Mar 2025-WEST-18</v>
      </c>
      <c r="K273">
        <f t="shared" si="144"/>
        <v>18</v>
      </c>
      <c r="L273">
        <f t="shared" si="145"/>
        <v>13.06</v>
      </c>
      <c r="M273">
        <f>IF(V273="","",IFERROR(VLOOKUP(TRIM($V273),KEY!$B$2:$E$58,4,FALSE),""))</f>
        <v>6</v>
      </c>
      <c r="N273">
        <f t="shared" si="146"/>
        <v>13</v>
      </c>
      <c r="O273" t="str">
        <f t="shared" si="147"/>
        <v>AU-6</v>
      </c>
      <c r="P273">
        <f t="shared" si="148"/>
        <v>6</v>
      </c>
      <c r="Q273">
        <f t="shared" si="149"/>
        <v>3.04</v>
      </c>
      <c r="R273">
        <f t="shared" si="150"/>
        <v>4</v>
      </c>
      <c r="S273">
        <f t="shared" si="151"/>
        <v>3</v>
      </c>
      <c r="T273" t="str">
        <f>IF(V273="","",IFERROR(VLOOKUP(TRIM($V273),KEY!$B$2:$E$58,2,FALSE),""))</f>
        <v>AU</v>
      </c>
      <c r="V273" s="64" t="s">
        <v>13</v>
      </c>
      <c r="W273" s="64">
        <v>16</v>
      </c>
      <c r="X273" s="64">
        <v>0</v>
      </c>
      <c r="Y273" s="64">
        <v>0</v>
      </c>
      <c r="Z273" s="64">
        <v>0</v>
      </c>
      <c r="AA273" s="64">
        <v>0</v>
      </c>
      <c r="AB273" s="64">
        <v>0</v>
      </c>
      <c r="AC273" s="64">
        <v>0</v>
      </c>
      <c r="AD273" s="64">
        <v>0</v>
      </c>
      <c r="AE273" s="64">
        <v>0</v>
      </c>
      <c r="AF273" s="64">
        <v>0</v>
      </c>
      <c r="AG273" s="64">
        <v>0</v>
      </c>
      <c r="AH273" s="64">
        <v>16</v>
      </c>
      <c r="AI273" s="64">
        <v>1</v>
      </c>
      <c r="AJ273" s="64">
        <v>0</v>
      </c>
      <c r="AK273" s="64">
        <v>0</v>
      </c>
      <c r="AL273" s="64">
        <v>0</v>
      </c>
      <c r="AM273" s="64">
        <v>0</v>
      </c>
    </row>
    <row r="274" spans="2:39" x14ac:dyDescent="0.2">
      <c r="B274" t="str">
        <f t="shared" si="136"/>
        <v>NorCal-2</v>
      </c>
      <c r="C274" t="str">
        <f t="shared" si="137"/>
        <v>Nov 2024-NorCal-2</v>
      </c>
      <c r="D274">
        <f t="shared" si="138"/>
        <v>2</v>
      </c>
      <c r="E274">
        <f t="shared" si="139"/>
        <v>2.0099999999999998</v>
      </c>
      <c r="F274">
        <f t="shared" si="140"/>
        <v>1</v>
      </c>
      <c r="G274">
        <f t="shared" si="141"/>
        <v>2</v>
      </c>
      <c r="H274" t="str">
        <f>IF(V274="","",IFERROR(VLOOKUP(TRIM($V274),KEY!$B$2:$E$58,3,FALSE),""))</f>
        <v>NorCal</v>
      </c>
      <c r="I274" t="str">
        <f t="shared" si="142"/>
        <v>WEST-12</v>
      </c>
      <c r="J274" t="str">
        <f t="shared" si="143"/>
        <v>Mar 2025-WEST-12</v>
      </c>
      <c r="K274">
        <f t="shared" si="144"/>
        <v>12</v>
      </c>
      <c r="L274">
        <f t="shared" si="145"/>
        <v>12.08</v>
      </c>
      <c r="M274">
        <f>IF(V274="","",IFERROR(VLOOKUP(TRIM($V274),KEY!$B$2:$E$58,4,FALSE),""))</f>
        <v>8</v>
      </c>
      <c r="N274">
        <f t="shared" si="146"/>
        <v>12</v>
      </c>
      <c r="O274" t="str">
        <f t="shared" si="147"/>
        <v>AU-2</v>
      </c>
      <c r="P274">
        <f t="shared" si="148"/>
        <v>2</v>
      </c>
      <c r="Q274">
        <f t="shared" si="149"/>
        <v>2.0499999999999998</v>
      </c>
      <c r="R274">
        <f t="shared" si="150"/>
        <v>5</v>
      </c>
      <c r="S274">
        <f t="shared" si="151"/>
        <v>2</v>
      </c>
      <c r="T274" t="str">
        <f>IF(V274="","",IFERROR(VLOOKUP(TRIM($V274),KEY!$B$2:$E$58,2,FALSE),""))</f>
        <v>AU</v>
      </c>
      <c r="V274" s="64" t="s">
        <v>275</v>
      </c>
      <c r="W274" s="64">
        <v>45</v>
      </c>
      <c r="X274" s="64">
        <v>1</v>
      </c>
      <c r="Y274" s="64">
        <v>2.2222222222222223E-2</v>
      </c>
      <c r="Z274" s="64">
        <v>0</v>
      </c>
      <c r="AA274" s="64">
        <v>1</v>
      </c>
      <c r="AB274" s="64">
        <v>0</v>
      </c>
      <c r="AC274" s="64">
        <v>0</v>
      </c>
      <c r="AD274" s="64">
        <v>1</v>
      </c>
      <c r="AE274" s="64">
        <v>2.2222222222222223E-2</v>
      </c>
      <c r="AF274" s="64">
        <v>44</v>
      </c>
      <c r="AG274" s="64">
        <v>0</v>
      </c>
      <c r="AH274" s="64">
        <v>0</v>
      </c>
      <c r="AI274" s="64">
        <v>0.97777777777777775</v>
      </c>
      <c r="AJ274" s="64">
        <v>0</v>
      </c>
      <c r="AK274" s="64">
        <v>0</v>
      </c>
      <c r="AL274" s="64">
        <v>0</v>
      </c>
      <c r="AM274" s="64">
        <v>0</v>
      </c>
    </row>
    <row r="275" spans="2:39" x14ac:dyDescent="0.2">
      <c r="B275" t="str">
        <f t="shared" si="136"/>
        <v>OC-1</v>
      </c>
      <c r="C275" t="str">
        <f t="shared" si="137"/>
        <v>Nov 2024-OC-1</v>
      </c>
      <c r="D275">
        <f t="shared" si="138"/>
        <v>1</v>
      </c>
      <c r="E275">
        <f t="shared" si="139"/>
        <v>1.02</v>
      </c>
      <c r="F275">
        <f t="shared" si="140"/>
        <v>2</v>
      </c>
      <c r="G275">
        <f t="shared" si="141"/>
        <v>1</v>
      </c>
      <c r="H275" t="str">
        <f>IF(V275="","",IFERROR(VLOOKUP(TRIM($V275),KEY!$B$2:$E$58,3,FALSE),""))</f>
        <v>OC</v>
      </c>
      <c r="I275" t="str">
        <f t="shared" si="142"/>
        <v>WEST-4</v>
      </c>
      <c r="J275" t="str">
        <f t="shared" si="143"/>
        <v>Mar 2025-WEST-4</v>
      </c>
      <c r="K275">
        <f t="shared" si="144"/>
        <v>4</v>
      </c>
      <c r="L275">
        <f t="shared" si="145"/>
        <v>4.07</v>
      </c>
      <c r="M275">
        <f>IF(V275="","",IFERROR(VLOOKUP(TRIM($V275),KEY!$B$2:$E$58,4,FALSE),""))</f>
        <v>7</v>
      </c>
      <c r="N275">
        <f t="shared" si="146"/>
        <v>4</v>
      </c>
      <c r="O275" t="str">
        <f t="shared" si="147"/>
        <v>AU-1</v>
      </c>
      <c r="P275">
        <f t="shared" si="148"/>
        <v>1</v>
      </c>
      <c r="Q275">
        <f t="shared" si="149"/>
        <v>1.06</v>
      </c>
      <c r="R275">
        <f t="shared" si="150"/>
        <v>6</v>
      </c>
      <c r="S275">
        <f t="shared" si="151"/>
        <v>1</v>
      </c>
      <c r="T275" t="str">
        <f>IF(V275="","",IFERROR(VLOOKUP(TRIM($V275),KEY!$B$2:$E$58,2,FALSE),""))</f>
        <v>AU</v>
      </c>
      <c r="V275" s="64" t="s">
        <v>14</v>
      </c>
      <c r="W275" s="64">
        <v>38</v>
      </c>
      <c r="X275" s="64">
        <v>4</v>
      </c>
      <c r="Y275" s="64">
        <v>0.10526315789473684</v>
      </c>
      <c r="Z275" s="64">
        <v>0</v>
      </c>
      <c r="AA275" s="64">
        <v>4</v>
      </c>
      <c r="AB275" s="64">
        <v>0</v>
      </c>
      <c r="AC275" s="64">
        <v>0</v>
      </c>
      <c r="AD275" s="64">
        <v>4</v>
      </c>
      <c r="AE275" s="64">
        <v>0.10526315789473684</v>
      </c>
      <c r="AF275" s="64">
        <v>33</v>
      </c>
      <c r="AG275" s="64">
        <v>0</v>
      </c>
      <c r="AH275" s="64">
        <v>1</v>
      </c>
      <c r="AI275" s="64">
        <v>0.89473684210526316</v>
      </c>
      <c r="AJ275" s="64">
        <v>0</v>
      </c>
      <c r="AK275" s="64">
        <v>0</v>
      </c>
      <c r="AL275" s="64">
        <v>0</v>
      </c>
      <c r="AM275" s="64">
        <v>0</v>
      </c>
    </row>
    <row r="276" spans="2:39" x14ac:dyDescent="0.2">
      <c r="B276" t="str">
        <f t="shared" si="136"/>
        <v>AZ-1</v>
      </c>
      <c r="C276" t="str">
        <f t="shared" si="137"/>
        <v>Nov 2024-AZ-1</v>
      </c>
      <c r="D276">
        <f t="shared" si="138"/>
        <v>1</v>
      </c>
      <c r="E276">
        <f t="shared" si="139"/>
        <v>1.04</v>
      </c>
      <c r="F276">
        <f t="shared" si="140"/>
        <v>4</v>
      </c>
      <c r="G276">
        <f t="shared" si="141"/>
        <v>1</v>
      </c>
      <c r="H276" t="str">
        <f>IF(V276="","",IFERROR(VLOOKUP(TRIM($V276),KEY!$B$2:$E$58,3,FALSE),""))</f>
        <v>AZ</v>
      </c>
      <c r="I276" t="str">
        <f t="shared" si="142"/>
        <v>WEST--</v>
      </c>
      <c r="J276" t="str">
        <f t="shared" si="143"/>
        <v>Mar 2025-WEST--</v>
      </c>
      <c r="K276" t="str">
        <f t="shared" si="144"/>
        <v>-</v>
      </c>
      <c r="L276" t="str">
        <f t="shared" si="145"/>
        <v>-</v>
      </c>
      <c r="M276">
        <f>IF(V276="","",IFERROR(VLOOKUP(TRIM($V276),KEY!$B$2:$E$58,4,FALSE),""))</f>
        <v>9</v>
      </c>
      <c r="N276" t="str">
        <f t="shared" si="146"/>
        <v>-</v>
      </c>
      <c r="O276" t="str">
        <f t="shared" si="147"/>
        <v>BE-1</v>
      </c>
      <c r="P276">
        <f t="shared" si="148"/>
        <v>1</v>
      </c>
      <c r="Q276">
        <f t="shared" si="149"/>
        <v>1.01</v>
      </c>
      <c r="R276">
        <f t="shared" si="150"/>
        <v>1</v>
      </c>
      <c r="S276">
        <f t="shared" si="151"/>
        <v>1</v>
      </c>
      <c r="T276" t="str">
        <f>IF(V276="","",IFERROR(VLOOKUP(TRIM($V276),KEY!$B$2:$E$58,2,FALSE),""))</f>
        <v>BE</v>
      </c>
      <c r="V276" s="64" t="s">
        <v>15</v>
      </c>
      <c r="W276" s="64">
        <v>0</v>
      </c>
      <c r="X276" s="64">
        <v>0</v>
      </c>
      <c r="Y276" s="64" t="s">
        <v>274</v>
      </c>
      <c r="Z276" s="64">
        <v>0</v>
      </c>
      <c r="AA276" s="64">
        <v>0</v>
      </c>
      <c r="AB276" s="64">
        <v>0</v>
      </c>
      <c r="AC276" s="64">
        <v>0</v>
      </c>
      <c r="AD276" s="64">
        <v>0</v>
      </c>
      <c r="AE276" s="64" t="s">
        <v>274</v>
      </c>
      <c r="AF276" s="64">
        <v>0</v>
      </c>
      <c r="AG276" s="64">
        <v>0</v>
      </c>
      <c r="AH276" s="64">
        <v>0</v>
      </c>
      <c r="AI276" s="64" t="s">
        <v>274</v>
      </c>
      <c r="AJ276" s="64">
        <v>0</v>
      </c>
      <c r="AK276" s="64">
        <v>0</v>
      </c>
      <c r="AL276" s="64">
        <v>0</v>
      </c>
      <c r="AM276" s="64" t="s">
        <v>274</v>
      </c>
    </row>
    <row r="277" spans="2:39" x14ac:dyDescent="0.2">
      <c r="B277" t="str">
        <f t="shared" si="136"/>
        <v>AZ-5</v>
      </c>
      <c r="C277" t="str">
        <f t="shared" si="137"/>
        <v>Nov 2024-AZ-5</v>
      </c>
      <c r="D277">
        <f t="shared" si="138"/>
        <v>5</v>
      </c>
      <c r="E277">
        <f t="shared" si="139"/>
        <v>3.05</v>
      </c>
      <c r="F277">
        <f t="shared" si="140"/>
        <v>5</v>
      </c>
      <c r="G277">
        <f t="shared" si="141"/>
        <v>3</v>
      </c>
      <c r="H277" t="str">
        <f>IF(V277="","",IFERROR(VLOOKUP(TRIM($V277),KEY!$B$2:$E$58,3,FALSE),""))</f>
        <v>AZ</v>
      </c>
      <c r="I277" t="str">
        <f t="shared" si="142"/>
        <v>WEST-9</v>
      </c>
      <c r="J277" t="str">
        <f t="shared" si="143"/>
        <v>Mar 2025-WEST-9</v>
      </c>
      <c r="K277">
        <f t="shared" si="144"/>
        <v>9</v>
      </c>
      <c r="L277">
        <f t="shared" si="145"/>
        <v>9.1</v>
      </c>
      <c r="M277">
        <f>IF(V277="","",IFERROR(VLOOKUP(TRIM($V277),KEY!$B$2:$E$58,4,FALSE),""))</f>
        <v>10</v>
      </c>
      <c r="N277">
        <f t="shared" si="146"/>
        <v>9</v>
      </c>
      <c r="O277" t="str">
        <f t="shared" si="147"/>
        <v>BM-3</v>
      </c>
      <c r="P277">
        <f t="shared" si="148"/>
        <v>3</v>
      </c>
      <c r="Q277">
        <f t="shared" si="149"/>
        <v>3.01</v>
      </c>
      <c r="R277">
        <f t="shared" si="150"/>
        <v>1</v>
      </c>
      <c r="S277">
        <f t="shared" si="151"/>
        <v>3</v>
      </c>
      <c r="T277" t="str">
        <f>IF(V277="","",IFERROR(VLOOKUP(TRIM($V277),KEY!$B$2:$E$58,2,FALSE),""))</f>
        <v>BM</v>
      </c>
      <c r="V277" s="64" t="s">
        <v>16</v>
      </c>
      <c r="W277" s="64">
        <v>76</v>
      </c>
      <c r="X277" s="64">
        <v>4</v>
      </c>
      <c r="Y277" s="64">
        <v>5.2631578947368418E-2</v>
      </c>
      <c r="Z277" s="64">
        <v>1</v>
      </c>
      <c r="AA277" s="64">
        <v>4</v>
      </c>
      <c r="AB277" s="64">
        <v>0</v>
      </c>
      <c r="AC277" s="64">
        <v>1</v>
      </c>
      <c r="AD277" s="64">
        <v>6</v>
      </c>
      <c r="AE277" s="64">
        <v>7.8947368421052627E-2</v>
      </c>
      <c r="AF277" s="64">
        <v>61</v>
      </c>
      <c r="AG277" s="64">
        <v>0</v>
      </c>
      <c r="AH277" s="64">
        <v>0</v>
      </c>
      <c r="AI277" s="64">
        <v>0.80263157894736847</v>
      </c>
      <c r="AJ277" s="64">
        <v>3</v>
      </c>
      <c r="AK277" s="64">
        <v>6</v>
      </c>
      <c r="AL277" s="64">
        <v>0</v>
      </c>
      <c r="AM277" s="64">
        <v>0.11842105263157894</v>
      </c>
    </row>
    <row r="278" spans="2:39" x14ac:dyDescent="0.2">
      <c r="B278" t="str">
        <f t="shared" si="136"/>
        <v>TX-1</v>
      </c>
      <c r="C278" t="str">
        <f t="shared" si="137"/>
        <v>Nov 2024-TX-1</v>
      </c>
      <c r="D278">
        <f t="shared" si="138"/>
        <v>1</v>
      </c>
      <c r="E278">
        <f t="shared" si="139"/>
        <v>1.01</v>
      </c>
      <c r="F278">
        <f t="shared" si="140"/>
        <v>1</v>
      </c>
      <c r="G278">
        <f t="shared" si="141"/>
        <v>1</v>
      </c>
      <c r="H278" t="str">
        <f>IF(V278="","",IFERROR(VLOOKUP(TRIM($V278),KEY!$B$2:$E$58,3,FALSE),""))</f>
        <v>TX</v>
      </c>
      <c r="I278" t="str">
        <f t="shared" si="142"/>
        <v>WEST-2</v>
      </c>
      <c r="J278" t="str">
        <f t="shared" si="143"/>
        <v>Mar 2025-WEST-2</v>
      </c>
      <c r="K278">
        <f t="shared" si="144"/>
        <v>2</v>
      </c>
      <c r="L278">
        <f t="shared" si="145"/>
        <v>2.11</v>
      </c>
      <c r="M278">
        <f>IF(V278="","",IFERROR(VLOOKUP(TRIM($V278),KEY!$B$2:$E$58,4,FALSE),""))</f>
        <v>11</v>
      </c>
      <c r="N278">
        <f t="shared" si="146"/>
        <v>2</v>
      </c>
      <c r="O278" t="str">
        <f t="shared" si="147"/>
        <v>BM-1</v>
      </c>
      <c r="P278">
        <f t="shared" si="148"/>
        <v>1</v>
      </c>
      <c r="Q278">
        <f t="shared" si="149"/>
        <v>1.02</v>
      </c>
      <c r="R278">
        <f t="shared" si="150"/>
        <v>2</v>
      </c>
      <c r="S278">
        <f t="shared" si="151"/>
        <v>1</v>
      </c>
      <c r="T278" t="str">
        <f>IF(V278="","",IFERROR(VLOOKUP(TRIM($V278),KEY!$B$2:$E$58,2,FALSE),""))</f>
        <v>BM</v>
      </c>
      <c r="V278" s="64" t="s">
        <v>17</v>
      </c>
      <c r="W278" s="64">
        <v>19</v>
      </c>
      <c r="X278" s="64">
        <v>5</v>
      </c>
      <c r="Y278" s="64">
        <v>0.26315789473684209</v>
      </c>
      <c r="Z278" s="64">
        <v>0</v>
      </c>
      <c r="AA278" s="64">
        <v>5</v>
      </c>
      <c r="AB278" s="64">
        <v>0</v>
      </c>
      <c r="AC278" s="64">
        <v>0</v>
      </c>
      <c r="AD278" s="64">
        <v>5</v>
      </c>
      <c r="AE278" s="64">
        <v>0.26315789473684209</v>
      </c>
      <c r="AF278" s="64">
        <v>14</v>
      </c>
      <c r="AG278" s="64">
        <v>0</v>
      </c>
      <c r="AH278" s="64">
        <v>0</v>
      </c>
      <c r="AI278" s="64">
        <v>0.73684210526315785</v>
      </c>
      <c r="AJ278" s="64">
        <v>0</v>
      </c>
      <c r="AK278" s="64">
        <v>0</v>
      </c>
      <c r="AL278" s="64">
        <v>0</v>
      </c>
      <c r="AM278" s="64">
        <v>0</v>
      </c>
    </row>
    <row r="279" spans="2:39" x14ac:dyDescent="0.2">
      <c r="B279" t="str">
        <f t="shared" si="136"/>
        <v>SoCal-7</v>
      </c>
      <c r="C279" t="str">
        <f t="shared" si="137"/>
        <v>Nov 2024-SoCal-7</v>
      </c>
      <c r="D279">
        <f t="shared" si="138"/>
        <v>7</v>
      </c>
      <c r="E279">
        <f t="shared" si="139"/>
        <v>4.04</v>
      </c>
      <c r="F279">
        <f t="shared" si="140"/>
        <v>4</v>
      </c>
      <c r="G279">
        <f t="shared" si="141"/>
        <v>4</v>
      </c>
      <c r="H279" t="str">
        <f>IF(V279="","",IFERROR(VLOOKUP(TRIM($V279),KEY!$B$2:$E$58,3,FALSE),""))</f>
        <v>SoCal</v>
      </c>
      <c r="I279" t="str">
        <f t="shared" si="142"/>
        <v>WEST-19</v>
      </c>
      <c r="J279" t="str">
        <f t="shared" si="143"/>
        <v>Mar 2025-WEST-19</v>
      </c>
      <c r="K279">
        <f t="shared" si="144"/>
        <v>19</v>
      </c>
      <c r="L279">
        <f t="shared" si="145"/>
        <v>13.12</v>
      </c>
      <c r="M279">
        <f>IF(V279="","",IFERROR(VLOOKUP(TRIM($V279),KEY!$B$2:$E$58,4,FALSE),""))</f>
        <v>12</v>
      </c>
      <c r="N279">
        <f t="shared" si="146"/>
        <v>13</v>
      </c>
      <c r="O279" t="str">
        <f t="shared" si="147"/>
        <v>BM-6</v>
      </c>
      <c r="P279">
        <f t="shared" si="148"/>
        <v>6</v>
      </c>
      <c r="Q279">
        <f t="shared" si="149"/>
        <v>4.05</v>
      </c>
      <c r="R279">
        <f t="shared" si="150"/>
        <v>5</v>
      </c>
      <c r="S279">
        <f t="shared" si="151"/>
        <v>4</v>
      </c>
      <c r="T279" t="str">
        <f>IF(V279="","",IFERROR(VLOOKUP(TRIM($V279),KEY!$B$2:$E$58,2,FALSE),""))</f>
        <v>BM</v>
      </c>
      <c r="V279" s="64" t="s">
        <v>267</v>
      </c>
      <c r="W279" s="64">
        <v>15</v>
      </c>
      <c r="X279" s="64">
        <v>0</v>
      </c>
      <c r="Y279" s="64">
        <v>0</v>
      </c>
      <c r="Z279" s="64">
        <v>0</v>
      </c>
      <c r="AA279" s="64">
        <v>0</v>
      </c>
      <c r="AB279" s="64">
        <v>0</v>
      </c>
      <c r="AC279" s="64">
        <v>0</v>
      </c>
      <c r="AD279" s="64">
        <v>0</v>
      </c>
      <c r="AE279" s="64">
        <v>0</v>
      </c>
      <c r="AF279" s="64">
        <v>0</v>
      </c>
      <c r="AG279" s="64">
        <v>0</v>
      </c>
      <c r="AH279" s="64">
        <v>15</v>
      </c>
      <c r="AI279" s="64">
        <v>1</v>
      </c>
      <c r="AJ279" s="64">
        <v>0</v>
      </c>
      <c r="AK279" s="64">
        <v>0</v>
      </c>
      <c r="AL279" s="64">
        <v>0</v>
      </c>
      <c r="AM279" s="64">
        <v>0</v>
      </c>
    </row>
    <row r="280" spans="2:39" x14ac:dyDescent="0.2">
      <c r="B280" t="str">
        <f t="shared" si="136"/>
        <v>OC-5</v>
      </c>
      <c r="C280" t="str">
        <f t="shared" si="137"/>
        <v>Nov 2024-OC-5</v>
      </c>
      <c r="D280">
        <f t="shared" si="138"/>
        <v>5</v>
      </c>
      <c r="E280">
        <f t="shared" si="139"/>
        <v>3.03</v>
      </c>
      <c r="F280">
        <f t="shared" si="140"/>
        <v>3</v>
      </c>
      <c r="G280">
        <f t="shared" si="141"/>
        <v>3</v>
      </c>
      <c r="H280" t="str">
        <f>IF(V280="","",IFERROR(VLOOKUP(TRIM($V280),KEY!$B$2:$E$58,3,FALSE),""))</f>
        <v>OC</v>
      </c>
      <c r="I280" t="str">
        <f t="shared" si="142"/>
        <v>WEST-20</v>
      </c>
      <c r="J280" t="str">
        <f t="shared" si="143"/>
        <v>Mar 2025-WEST-20</v>
      </c>
      <c r="K280">
        <f t="shared" si="144"/>
        <v>20</v>
      </c>
      <c r="L280">
        <f t="shared" si="145"/>
        <v>13.13</v>
      </c>
      <c r="M280">
        <f>IF(V280="","",IFERROR(VLOOKUP(TRIM($V280),KEY!$B$2:$E$58,4,FALSE),""))</f>
        <v>13</v>
      </c>
      <c r="N280">
        <f t="shared" si="146"/>
        <v>13</v>
      </c>
      <c r="O280" t="str">
        <f t="shared" si="147"/>
        <v>BM-4</v>
      </c>
      <c r="P280">
        <f t="shared" si="148"/>
        <v>4</v>
      </c>
      <c r="Q280">
        <f t="shared" si="149"/>
        <v>4.03</v>
      </c>
      <c r="R280">
        <f t="shared" si="150"/>
        <v>3</v>
      </c>
      <c r="S280">
        <f t="shared" si="151"/>
        <v>4</v>
      </c>
      <c r="T280" t="str">
        <f>IF(V280="","",IFERROR(VLOOKUP(TRIM($V280),KEY!$B$2:$E$58,2,FALSE),""))</f>
        <v>BM</v>
      </c>
      <c r="V280" s="64" t="s">
        <v>18</v>
      </c>
      <c r="W280" s="64">
        <v>37</v>
      </c>
      <c r="X280" s="64">
        <v>0</v>
      </c>
      <c r="Y280" s="64">
        <v>0</v>
      </c>
      <c r="Z280" s="64">
        <v>0</v>
      </c>
      <c r="AA280" s="64">
        <v>0</v>
      </c>
      <c r="AB280" s="64">
        <v>0</v>
      </c>
      <c r="AC280" s="64">
        <v>0</v>
      </c>
      <c r="AD280" s="64">
        <v>0</v>
      </c>
      <c r="AE280" s="64">
        <v>0</v>
      </c>
      <c r="AF280" s="64">
        <v>0</v>
      </c>
      <c r="AG280" s="64">
        <v>0</v>
      </c>
      <c r="AH280" s="64">
        <v>37</v>
      </c>
      <c r="AI280" s="64">
        <v>1</v>
      </c>
      <c r="AJ280" s="64">
        <v>0</v>
      </c>
      <c r="AK280" s="64">
        <v>0</v>
      </c>
      <c r="AL280" s="64">
        <v>0</v>
      </c>
      <c r="AM280" s="64">
        <v>0</v>
      </c>
    </row>
    <row r="281" spans="2:39" x14ac:dyDescent="0.2">
      <c r="B281" t="str">
        <f t="shared" si="136"/>
        <v>SoCal-6</v>
      </c>
      <c r="C281" t="str">
        <f t="shared" si="137"/>
        <v>Nov 2024-SoCal-6</v>
      </c>
      <c r="D281">
        <f t="shared" si="138"/>
        <v>6</v>
      </c>
      <c r="E281">
        <f t="shared" si="139"/>
        <v>4.03</v>
      </c>
      <c r="F281">
        <f t="shared" si="140"/>
        <v>3</v>
      </c>
      <c r="G281">
        <f t="shared" si="141"/>
        <v>4</v>
      </c>
      <c r="H281" t="str">
        <f>IF(V281="","",IFERROR(VLOOKUP(TRIM($V281),KEY!$B$2:$E$58,3,FALSE),""))</f>
        <v>SoCal</v>
      </c>
      <c r="I281" t="str">
        <f t="shared" si="142"/>
        <v>WEST-21</v>
      </c>
      <c r="J281" t="str">
        <f t="shared" si="143"/>
        <v>Mar 2025-WEST-21</v>
      </c>
      <c r="K281">
        <f t="shared" si="144"/>
        <v>21</v>
      </c>
      <c r="L281">
        <f t="shared" si="145"/>
        <v>13.14</v>
      </c>
      <c r="M281">
        <f>IF(V281="","",IFERROR(VLOOKUP(TRIM($V281),KEY!$B$2:$E$58,4,FALSE),""))</f>
        <v>14</v>
      </c>
      <c r="N281">
        <f t="shared" si="146"/>
        <v>13</v>
      </c>
      <c r="O281" t="str">
        <f t="shared" si="147"/>
        <v>BM-5</v>
      </c>
      <c r="P281">
        <f t="shared" si="148"/>
        <v>5</v>
      </c>
      <c r="Q281">
        <f t="shared" si="149"/>
        <v>4.04</v>
      </c>
      <c r="R281">
        <f t="shared" si="150"/>
        <v>4</v>
      </c>
      <c r="S281">
        <f t="shared" si="151"/>
        <v>4</v>
      </c>
      <c r="T281" t="str">
        <f>IF(V281="","",IFERROR(VLOOKUP(TRIM($V281),KEY!$B$2:$E$58,2,FALSE),""))</f>
        <v>BM</v>
      </c>
      <c r="V281" s="64" t="s">
        <v>19</v>
      </c>
      <c r="W281" s="64">
        <v>51</v>
      </c>
      <c r="X281" s="64">
        <v>0</v>
      </c>
      <c r="Y281" s="64">
        <v>0</v>
      </c>
      <c r="Z281" s="64">
        <v>0</v>
      </c>
      <c r="AA281" s="64">
        <v>0</v>
      </c>
      <c r="AB281" s="64">
        <v>0</v>
      </c>
      <c r="AC281" s="64">
        <v>0</v>
      </c>
      <c r="AD281" s="64">
        <v>0</v>
      </c>
      <c r="AE281" s="64">
        <v>0</v>
      </c>
      <c r="AF281" s="64">
        <v>0</v>
      </c>
      <c r="AG281" s="64">
        <v>0</v>
      </c>
      <c r="AH281" s="64">
        <v>51</v>
      </c>
      <c r="AI281" s="64">
        <v>1</v>
      </c>
      <c r="AJ281" s="64">
        <v>0</v>
      </c>
      <c r="AK281" s="64">
        <v>0</v>
      </c>
      <c r="AL281" s="64">
        <v>0</v>
      </c>
      <c r="AM281" s="64">
        <v>0</v>
      </c>
    </row>
    <row r="282" spans="2:39" x14ac:dyDescent="0.2">
      <c r="B282" t="str">
        <f t="shared" si="136"/>
        <v>NorCal-3</v>
      </c>
      <c r="C282" t="str">
        <f t="shared" si="137"/>
        <v>Nov 2024-NorCal-3</v>
      </c>
      <c r="D282">
        <f t="shared" si="138"/>
        <v>3</v>
      </c>
      <c r="E282">
        <f t="shared" si="139"/>
        <v>3.02</v>
      </c>
      <c r="F282">
        <f t="shared" si="140"/>
        <v>2</v>
      </c>
      <c r="G282">
        <f t="shared" si="141"/>
        <v>3</v>
      </c>
      <c r="H282" t="str">
        <f>IF(V282="","",IFERROR(VLOOKUP(TRIM($V282),KEY!$B$2:$E$58,3,FALSE),""))</f>
        <v>NorCal</v>
      </c>
      <c r="I282" t="str">
        <f t="shared" si="142"/>
        <v>WEST-22</v>
      </c>
      <c r="J282" t="str">
        <f t="shared" si="143"/>
        <v>Mar 2025-WEST-22</v>
      </c>
      <c r="K282">
        <f t="shared" si="144"/>
        <v>22</v>
      </c>
      <c r="L282">
        <f t="shared" si="145"/>
        <v>13.15</v>
      </c>
      <c r="M282">
        <f>IF(V282="","",IFERROR(VLOOKUP(TRIM($V282),KEY!$B$2:$E$58,4,FALSE),""))</f>
        <v>15</v>
      </c>
      <c r="N282">
        <f t="shared" si="146"/>
        <v>13</v>
      </c>
      <c r="O282" t="str">
        <f t="shared" si="147"/>
        <v>AC-3</v>
      </c>
      <c r="P282">
        <f t="shared" si="148"/>
        <v>3</v>
      </c>
      <c r="Q282">
        <f t="shared" si="149"/>
        <v>1.03</v>
      </c>
      <c r="R282">
        <f t="shared" si="150"/>
        <v>3</v>
      </c>
      <c r="S282">
        <f t="shared" si="151"/>
        <v>1</v>
      </c>
      <c r="T282" t="str">
        <f>IF(V282="","",IFERROR(VLOOKUP(TRIM($V282),KEY!$B$2:$E$58,2,FALSE),""))</f>
        <v>AC</v>
      </c>
      <c r="V282" s="64" t="s">
        <v>262</v>
      </c>
      <c r="W282" s="64">
        <v>9</v>
      </c>
      <c r="X282" s="64">
        <v>0</v>
      </c>
      <c r="Y282" s="64">
        <v>0</v>
      </c>
      <c r="Z282" s="64">
        <v>0</v>
      </c>
      <c r="AA282" s="64">
        <v>0</v>
      </c>
      <c r="AB282" s="64">
        <v>0</v>
      </c>
      <c r="AC282" s="64">
        <v>0</v>
      </c>
      <c r="AD282" s="64">
        <v>0</v>
      </c>
      <c r="AE282" s="64">
        <v>0</v>
      </c>
      <c r="AF282" s="64">
        <v>0</v>
      </c>
      <c r="AG282" s="64">
        <v>0</v>
      </c>
      <c r="AH282" s="64">
        <v>9</v>
      </c>
      <c r="AI282" s="64">
        <v>1</v>
      </c>
      <c r="AJ282" s="64">
        <v>0</v>
      </c>
      <c r="AK282" s="64">
        <v>0</v>
      </c>
      <c r="AL282" s="64">
        <v>0</v>
      </c>
      <c r="AM282" s="64">
        <v>0</v>
      </c>
    </row>
    <row r="283" spans="2:39" x14ac:dyDescent="0.2">
      <c r="B283" t="str">
        <f t="shared" si="136"/>
        <v>NorCal-4</v>
      </c>
      <c r="C283" t="str">
        <f t="shared" si="137"/>
        <v>Nov 2024-NorCal-4</v>
      </c>
      <c r="D283">
        <f t="shared" si="138"/>
        <v>4</v>
      </c>
      <c r="E283">
        <f t="shared" si="139"/>
        <v>3.03</v>
      </c>
      <c r="F283">
        <f t="shared" si="140"/>
        <v>3</v>
      </c>
      <c r="G283">
        <f t="shared" si="141"/>
        <v>3</v>
      </c>
      <c r="H283" t="str">
        <f>IF(V283="","",IFERROR(VLOOKUP(TRIM($V283),KEY!$B$2:$E$58,3,FALSE),""))</f>
        <v>NorCal</v>
      </c>
      <c r="I283" t="str">
        <f t="shared" si="142"/>
        <v>WEST-23</v>
      </c>
      <c r="J283" t="str">
        <f t="shared" si="143"/>
        <v>Mar 2025-WEST-23</v>
      </c>
      <c r="K283">
        <f t="shared" si="144"/>
        <v>23</v>
      </c>
      <c r="L283">
        <f t="shared" si="145"/>
        <v>13.16</v>
      </c>
      <c r="M283">
        <f>IF(V283="","",IFERROR(VLOOKUP(TRIM($V283),KEY!$B$2:$E$58,4,FALSE),""))</f>
        <v>16</v>
      </c>
      <c r="N283">
        <f t="shared" si="146"/>
        <v>13</v>
      </c>
      <c r="O283" t="str">
        <f t="shared" si="147"/>
        <v>HO-3</v>
      </c>
      <c r="P283">
        <f t="shared" si="148"/>
        <v>3</v>
      </c>
      <c r="Q283">
        <f t="shared" si="149"/>
        <v>3.01</v>
      </c>
      <c r="R283">
        <f t="shared" si="150"/>
        <v>1</v>
      </c>
      <c r="S283">
        <f t="shared" si="151"/>
        <v>3</v>
      </c>
      <c r="T283" t="str">
        <f>IF(V283="","",IFERROR(VLOOKUP(TRIM($V283),KEY!$B$2:$E$58,2,FALSE),""))</f>
        <v>HO</v>
      </c>
      <c r="V283" s="64" t="s">
        <v>22</v>
      </c>
      <c r="W283" s="64">
        <v>15</v>
      </c>
      <c r="X283" s="64">
        <v>0</v>
      </c>
      <c r="Y283" s="64">
        <v>0</v>
      </c>
      <c r="Z283" s="64">
        <v>0</v>
      </c>
      <c r="AA283" s="64">
        <v>0</v>
      </c>
      <c r="AB283" s="64">
        <v>0</v>
      </c>
      <c r="AC283" s="64">
        <v>0</v>
      </c>
      <c r="AD283" s="64">
        <v>0</v>
      </c>
      <c r="AE283" s="64">
        <v>0</v>
      </c>
      <c r="AF283" s="64">
        <v>0</v>
      </c>
      <c r="AG283" s="64">
        <v>0</v>
      </c>
      <c r="AH283" s="64">
        <v>15</v>
      </c>
      <c r="AI283" s="64">
        <v>1</v>
      </c>
      <c r="AJ283" s="64">
        <v>0</v>
      </c>
      <c r="AK283" s="64">
        <v>0</v>
      </c>
      <c r="AL283" s="64">
        <v>0</v>
      </c>
      <c r="AM283" s="64">
        <v>0</v>
      </c>
    </row>
    <row r="284" spans="2:39" x14ac:dyDescent="0.2">
      <c r="B284" t="str">
        <f t="shared" si="136"/>
        <v>OC-3</v>
      </c>
      <c r="C284" t="str">
        <f t="shared" si="137"/>
        <v>Nov 2024-OC-3</v>
      </c>
      <c r="D284">
        <f t="shared" si="138"/>
        <v>3</v>
      </c>
      <c r="E284">
        <f t="shared" si="139"/>
        <v>2.04</v>
      </c>
      <c r="F284">
        <f t="shared" si="140"/>
        <v>4</v>
      </c>
      <c r="G284">
        <f t="shared" si="141"/>
        <v>2</v>
      </c>
      <c r="H284" t="str">
        <f>IF(V284="","",IFERROR(VLOOKUP(TRIM($V284),KEY!$B$2:$E$58,3,FALSE),""))</f>
        <v>OC</v>
      </c>
      <c r="I284" t="str">
        <f t="shared" si="142"/>
        <v>WEST-5</v>
      </c>
      <c r="J284" t="str">
        <f t="shared" si="143"/>
        <v>Mar 2025-WEST-5</v>
      </c>
      <c r="K284">
        <f t="shared" si="144"/>
        <v>5</v>
      </c>
      <c r="L284">
        <f t="shared" si="145"/>
        <v>5.17</v>
      </c>
      <c r="M284">
        <f>IF(V284="","",IFERROR(VLOOKUP(TRIM($V284),KEY!$B$2:$E$58,4,FALSE),""))</f>
        <v>17</v>
      </c>
      <c r="N284">
        <f t="shared" si="146"/>
        <v>5</v>
      </c>
      <c r="O284" t="str">
        <f t="shared" si="147"/>
        <v>BM-2</v>
      </c>
      <c r="P284">
        <f t="shared" si="148"/>
        <v>2</v>
      </c>
      <c r="Q284">
        <f t="shared" si="149"/>
        <v>2.06</v>
      </c>
      <c r="R284">
        <f t="shared" si="150"/>
        <v>6</v>
      </c>
      <c r="S284">
        <f t="shared" si="151"/>
        <v>2</v>
      </c>
      <c r="T284" t="str">
        <f>IF(V284="","",IFERROR(VLOOKUP(TRIM($V284),KEY!$B$2:$E$58,2,FALSE),""))</f>
        <v>BM</v>
      </c>
      <c r="V284" s="64" t="s">
        <v>20</v>
      </c>
      <c r="W284" s="64">
        <v>135</v>
      </c>
      <c r="X284" s="64">
        <v>12</v>
      </c>
      <c r="Y284" s="64">
        <v>8.8888888888888892E-2</v>
      </c>
      <c r="Z284" s="64">
        <v>1</v>
      </c>
      <c r="AA284" s="64">
        <v>12</v>
      </c>
      <c r="AB284" s="64">
        <v>0</v>
      </c>
      <c r="AC284" s="64">
        <v>0</v>
      </c>
      <c r="AD284" s="64">
        <v>13</v>
      </c>
      <c r="AE284" s="64">
        <v>9.6296296296296297E-2</v>
      </c>
      <c r="AF284" s="64">
        <v>0</v>
      </c>
      <c r="AG284" s="64">
        <v>0</v>
      </c>
      <c r="AH284" s="64">
        <v>122</v>
      </c>
      <c r="AI284" s="64">
        <v>0.90370370370370368</v>
      </c>
      <c r="AJ284" s="64">
        <v>0</v>
      </c>
      <c r="AK284" s="64">
        <v>0</v>
      </c>
      <c r="AL284" s="64">
        <v>0</v>
      </c>
      <c r="AM284" s="64">
        <v>0</v>
      </c>
    </row>
    <row r="285" spans="2:39" x14ac:dyDescent="0.2">
      <c r="B285" t="str">
        <f t="shared" si="136"/>
        <v>OC-6</v>
      </c>
      <c r="C285" t="str">
        <f t="shared" si="137"/>
        <v>Nov 2024-OC-6</v>
      </c>
      <c r="D285">
        <f t="shared" si="138"/>
        <v>6</v>
      </c>
      <c r="E285">
        <f t="shared" si="139"/>
        <v>3.05</v>
      </c>
      <c r="F285">
        <f t="shared" si="140"/>
        <v>5</v>
      </c>
      <c r="G285">
        <f t="shared" si="141"/>
        <v>3</v>
      </c>
      <c r="H285" t="str">
        <f>IF(V285="","",IFERROR(VLOOKUP(TRIM($V285),KEY!$B$2:$E$58,3,FALSE),""))</f>
        <v>OC</v>
      </c>
      <c r="I285" t="str">
        <f t="shared" si="142"/>
        <v>WEST-24</v>
      </c>
      <c r="J285" t="str">
        <f t="shared" si="143"/>
        <v>Mar 2025-WEST-24</v>
      </c>
      <c r="K285">
        <f t="shared" si="144"/>
        <v>24</v>
      </c>
      <c r="L285">
        <f t="shared" si="145"/>
        <v>13.18</v>
      </c>
      <c r="M285">
        <f>IF(V285="","",IFERROR(VLOOKUP(TRIM($V285),KEY!$B$2:$E$58,4,FALSE),""))</f>
        <v>18</v>
      </c>
      <c r="N285">
        <f t="shared" si="146"/>
        <v>13</v>
      </c>
      <c r="O285" t="str">
        <f t="shared" si="147"/>
        <v>MI-4</v>
      </c>
      <c r="P285">
        <f t="shared" si="148"/>
        <v>4</v>
      </c>
      <c r="Q285">
        <f t="shared" si="149"/>
        <v>3.01</v>
      </c>
      <c r="R285">
        <f t="shared" si="150"/>
        <v>1</v>
      </c>
      <c r="S285">
        <f t="shared" si="151"/>
        <v>3</v>
      </c>
      <c r="T285" t="str">
        <f>IF(V285="","",IFERROR(VLOOKUP(TRIM($V285),KEY!$B$2:$E$58,2,FALSE),""))</f>
        <v>MI</v>
      </c>
      <c r="V285" s="64" t="s">
        <v>37</v>
      </c>
      <c r="W285" s="64">
        <v>6</v>
      </c>
      <c r="X285" s="64">
        <v>0</v>
      </c>
      <c r="Y285" s="64">
        <v>0</v>
      </c>
      <c r="Z285" s="64">
        <v>0</v>
      </c>
      <c r="AA285" s="64">
        <v>0</v>
      </c>
      <c r="AB285" s="64">
        <v>0</v>
      </c>
      <c r="AC285" s="64">
        <v>0</v>
      </c>
      <c r="AD285" s="64">
        <v>0</v>
      </c>
      <c r="AE285" s="64">
        <v>0</v>
      </c>
      <c r="AF285" s="64">
        <v>6</v>
      </c>
      <c r="AG285" s="64">
        <v>0</v>
      </c>
      <c r="AH285" s="64">
        <v>0</v>
      </c>
      <c r="AI285" s="64">
        <v>1</v>
      </c>
      <c r="AJ285" s="64">
        <v>0</v>
      </c>
      <c r="AK285" s="64">
        <v>0</v>
      </c>
      <c r="AL285" s="64">
        <v>0</v>
      </c>
      <c r="AM285" s="64">
        <v>0</v>
      </c>
    </row>
    <row r="286" spans="2:39" x14ac:dyDescent="0.2">
      <c r="B286" t="str">
        <f t="shared" si="136"/>
        <v>TX-3</v>
      </c>
      <c r="C286" t="str">
        <f t="shared" si="137"/>
        <v>Nov 2024-TX-3</v>
      </c>
      <c r="D286">
        <f t="shared" si="138"/>
        <v>3</v>
      </c>
      <c r="E286">
        <f t="shared" si="139"/>
        <v>3.02</v>
      </c>
      <c r="F286">
        <f t="shared" si="140"/>
        <v>2</v>
      </c>
      <c r="G286">
        <f t="shared" si="141"/>
        <v>3</v>
      </c>
      <c r="H286" t="str">
        <f>IF(V286="","",IFERROR(VLOOKUP(TRIM($V286),KEY!$B$2:$E$58,3,FALSE),""))</f>
        <v>TX</v>
      </c>
      <c r="I286" t="str">
        <f t="shared" si="142"/>
        <v>WEST-25</v>
      </c>
      <c r="J286" t="str">
        <f t="shared" si="143"/>
        <v>Mar 2025-WEST-25</v>
      </c>
      <c r="K286">
        <f t="shared" si="144"/>
        <v>25</v>
      </c>
      <c r="L286">
        <f t="shared" si="145"/>
        <v>13.19</v>
      </c>
      <c r="M286">
        <f>IF(V286="","",IFERROR(VLOOKUP(TRIM($V286),KEY!$B$2:$E$58,4,FALSE),""))</f>
        <v>19</v>
      </c>
      <c r="N286">
        <f t="shared" si="146"/>
        <v>13</v>
      </c>
      <c r="O286" t="str">
        <f t="shared" si="147"/>
        <v>GE-1</v>
      </c>
      <c r="P286">
        <f t="shared" si="148"/>
        <v>1</v>
      </c>
      <c r="Q286">
        <f t="shared" si="149"/>
        <v>1.01</v>
      </c>
      <c r="R286">
        <f t="shared" si="150"/>
        <v>1</v>
      </c>
      <c r="S286">
        <f t="shared" si="151"/>
        <v>1</v>
      </c>
      <c r="T286" t="str">
        <f>IF(V286="","",IFERROR(VLOOKUP(TRIM($V286),KEY!$B$2:$E$58,2,FALSE),""))</f>
        <v>GE</v>
      </c>
      <c r="V286" s="64" t="s">
        <v>263</v>
      </c>
      <c r="W286" s="64">
        <v>1</v>
      </c>
      <c r="X286" s="64">
        <v>0</v>
      </c>
      <c r="Y286" s="64">
        <v>0</v>
      </c>
      <c r="Z286" s="64">
        <v>0</v>
      </c>
      <c r="AA286" s="64">
        <v>0</v>
      </c>
      <c r="AB286" s="64">
        <v>0</v>
      </c>
      <c r="AC286" s="64">
        <v>0</v>
      </c>
      <c r="AD286" s="64">
        <v>0</v>
      </c>
      <c r="AE286" s="64">
        <v>0</v>
      </c>
      <c r="AF286" s="64">
        <v>0</v>
      </c>
      <c r="AG286" s="64">
        <v>0</v>
      </c>
      <c r="AH286" s="64">
        <v>1</v>
      </c>
      <c r="AI286" s="64">
        <v>1</v>
      </c>
      <c r="AJ286" s="64">
        <v>0</v>
      </c>
      <c r="AK286" s="64">
        <v>0</v>
      </c>
      <c r="AL286" s="64">
        <v>0</v>
      </c>
      <c r="AM286" s="64">
        <v>0</v>
      </c>
    </row>
    <row r="287" spans="2:39" x14ac:dyDescent="0.2">
      <c r="B287" t="str">
        <f t="shared" si="136"/>
        <v>TX-2</v>
      </c>
      <c r="C287" t="str">
        <f t="shared" si="137"/>
        <v>Nov 2024-TX-2</v>
      </c>
      <c r="D287">
        <f t="shared" si="138"/>
        <v>2</v>
      </c>
      <c r="E287">
        <f t="shared" si="139"/>
        <v>2.0299999999999998</v>
      </c>
      <c r="F287">
        <f t="shared" si="140"/>
        <v>3</v>
      </c>
      <c r="G287">
        <f t="shared" si="141"/>
        <v>2</v>
      </c>
      <c r="H287" t="str">
        <f>IF(V287="","",IFERROR(VLOOKUP(TRIM($V287),KEY!$B$2:$E$58,3,FALSE),""))</f>
        <v>TX</v>
      </c>
      <c r="I287" t="str">
        <f t="shared" si="142"/>
        <v>WEST-6</v>
      </c>
      <c r="J287" t="str">
        <f t="shared" si="143"/>
        <v>Mar 2025-WEST-6</v>
      </c>
      <c r="K287">
        <f t="shared" si="144"/>
        <v>6</v>
      </c>
      <c r="L287">
        <f t="shared" si="145"/>
        <v>6.2</v>
      </c>
      <c r="M287">
        <f>IF(V287="","",IFERROR(VLOOKUP(TRIM($V287),KEY!$B$2:$E$58,4,FALSE),""))</f>
        <v>20</v>
      </c>
      <c r="N287">
        <f t="shared" si="146"/>
        <v>6</v>
      </c>
      <c r="O287" t="str">
        <f t="shared" si="147"/>
        <v>HO-1</v>
      </c>
      <c r="P287">
        <f t="shared" si="148"/>
        <v>1</v>
      </c>
      <c r="Q287">
        <f t="shared" si="149"/>
        <v>1.02</v>
      </c>
      <c r="R287">
        <f t="shared" si="150"/>
        <v>2</v>
      </c>
      <c r="S287">
        <f t="shared" si="151"/>
        <v>1</v>
      </c>
      <c r="T287" t="str">
        <f>IF(V287="","",IFERROR(VLOOKUP(TRIM($V287),KEY!$B$2:$E$58,2,FALSE),""))</f>
        <v>HO</v>
      </c>
      <c r="V287" s="64" t="s">
        <v>239</v>
      </c>
      <c r="W287" s="64">
        <v>13</v>
      </c>
      <c r="X287" s="64">
        <v>1</v>
      </c>
      <c r="Y287" s="64">
        <v>7.6923076923076927E-2</v>
      </c>
      <c r="Z287" s="64">
        <v>0</v>
      </c>
      <c r="AA287" s="64">
        <v>1</v>
      </c>
      <c r="AB287" s="64">
        <v>0</v>
      </c>
      <c r="AC287" s="64">
        <v>0</v>
      </c>
      <c r="AD287" s="64">
        <v>1</v>
      </c>
      <c r="AE287" s="64">
        <v>7.6923076923076927E-2</v>
      </c>
      <c r="AF287" s="64">
        <v>3</v>
      </c>
      <c r="AG287" s="64">
        <v>0</v>
      </c>
      <c r="AH287" s="64">
        <v>9</v>
      </c>
      <c r="AI287" s="64">
        <v>0.92307692307692313</v>
      </c>
      <c r="AJ287" s="64">
        <v>0</v>
      </c>
      <c r="AK287" s="64">
        <v>0</v>
      </c>
      <c r="AL287" s="64">
        <v>0</v>
      </c>
      <c r="AM287" s="64">
        <v>0</v>
      </c>
    </row>
    <row r="288" spans="2:39" x14ac:dyDescent="0.2">
      <c r="B288" t="str">
        <f t="shared" si="136"/>
        <v>NorCal-5</v>
      </c>
      <c r="C288" t="str">
        <f t="shared" si="137"/>
        <v>Nov 2024-NorCal-5</v>
      </c>
      <c r="D288">
        <f t="shared" si="138"/>
        <v>5</v>
      </c>
      <c r="E288">
        <f t="shared" si="139"/>
        <v>3.04</v>
      </c>
      <c r="F288">
        <f t="shared" si="140"/>
        <v>4</v>
      </c>
      <c r="G288">
        <f t="shared" si="141"/>
        <v>3</v>
      </c>
      <c r="H288" t="str">
        <f>IF(V288="","",IFERROR(VLOOKUP(TRIM($V288),KEY!$B$2:$E$58,3,FALSE),""))</f>
        <v>NorCal</v>
      </c>
      <c r="I288" t="str">
        <f t="shared" si="142"/>
        <v>WEST-26</v>
      </c>
      <c r="J288" t="str">
        <f t="shared" si="143"/>
        <v>Mar 2025-WEST-26</v>
      </c>
      <c r="K288">
        <f t="shared" si="144"/>
        <v>26</v>
      </c>
      <c r="L288">
        <f t="shared" si="145"/>
        <v>13.21</v>
      </c>
      <c r="M288">
        <f>IF(V288="","",IFERROR(VLOOKUP(TRIM($V288),KEY!$B$2:$E$58,4,FALSE),""))</f>
        <v>21</v>
      </c>
      <c r="N288">
        <f t="shared" si="146"/>
        <v>13</v>
      </c>
      <c r="O288" t="str">
        <f t="shared" si="147"/>
        <v>HO-4</v>
      </c>
      <c r="P288">
        <f t="shared" si="148"/>
        <v>4</v>
      </c>
      <c r="Q288">
        <f t="shared" si="149"/>
        <v>3.03</v>
      </c>
      <c r="R288">
        <f t="shared" si="150"/>
        <v>3</v>
      </c>
      <c r="S288">
        <f t="shared" si="151"/>
        <v>3</v>
      </c>
      <c r="T288" t="str">
        <f>IF(V288="","",IFERROR(VLOOKUP(TRIM($V288),KEY!$B$2:$E$58,2,FALSE),""))</f>
        <v>HO</v>
      </c>
      <c r="V288" s="64" t="s">
        <v>23</v>
      </c>
      <c r="W288" s="64">
        <v>11</v>
      </c>
      <c r="X288" s="64">
        <v>0</v>
      </c>
      <c r="Y288" s="64">
        <v>0</v>
      </c>
      <c r="Z288" s="64">
        <v>0</v>
      </c>
      <c r="AA288" s="64">
        <v>0</v>
      </c>
      <c r="AB288" s="64">
        <v>0</v>
      </c>
      <c r="AC288" s="64">
        <v>0</v>
      </c>
      <c r="AD288" s="64">
        <v>0</v>
      </c>
      <c r="AE288" s="64">
        <v>0</v>
      </c>
      <c r="AF288" s="64">
        <v>0</v>
      </c>
      <c r="AG288" s="64">
        <v>0</v>
      </c>
      <c r="AH288" s="64">
        <v>11</v>
      </c>
      <c r="AI288" s="64">
        <v>1</v>
      </c>
      <c r="AJ288" s="64">
        <v>0</v>
      </c>
      <c r="AK288" s="64">
        <v>0</v>
      </c>
      <c r="AL288" s="64">
        <v>0</v>
      </c>
      <c r="AM288" s="64">
        <v>0</v>
      </c>
    </row>
    <row r="289" spans="2:39" x14ac:dyDescent="0.2">
      <c r="B289" t="str">
        <f t="shared" si="136"/>
        <v>SoCal-2</v>
      </c>
      <c r="C289" t="str">
        <f t="shared" si="137"/>
        <v>Nov 2024-SoCal-2</v>
      </c>
      <c r="D289">
        <f t="shared" si="138"/>
        <v>2</v>
      </c>
      <c r="E289">
        <f t="shared" si="139"/>
        <v>2.0499999999999998</v>
      </c>
      <c r="F289">
        <f t="shared" si="140"/>
        <v>5</v>
      </c>
      <c r="G289">
        <f t="shared" si="141"/>
        <v>2</v>
      </c>
      <c r="H289" t="str">
        <f>IF(V289="","",IFERROR(VLOOKUP(TRIM($V289),KEY!$B$2:$E$58,3,FALSE),""))</f>
        <v>SoCal</v>
      </c>
      <c r="I289" t="str">
        <f t="shared" si="142"/>
        <v>WEST-10</v>
      </c>
      <c r="J289" t="str">
        <f t="shared" si="143"/>
        <v>Mar 2025-WEST-10</v>
      </c>
      <c r="K289">
        <f t="shared" si="144"/>
        <v>10</v>
      </c>
      <c r="L289">
        <f t="shared" si="145"/>
        <v>9.2200000000000006</v>
      </c>
      <c r="M289">
        <f>IF(V289="","",IFERROR(VLOOKUP(TRIM($V289),KEY!$B$2:$E$58,4,FALSE),""))</f>
        <v>22</v>
      </c>
      <c r="N289">
        <f t="shared" si="146"/>
        <v>9</v>
      </c>
      <c r="O289" t="str">
        <f t="shared" si="147"/>
        <v>HO-2</v>
      </c>
      <c r="P289">
        <f t="shared" si="148"/>
        <v>2</v>
      </c>
      <c r="Q289">
        <f t="shared" si="149"/>
        <v>2.04</v>
      </c>
      <c r="R289">
        <f t="shared" si="150"/>
        <v>4</v>
      </c>
      <c r="S289">
        <f t="shared" si="151"/>
        <v>2</v>
      </c>
      <c r="T289" t="str">
        <f>IF(V289="","",IFERROR(VLOOKUP(TRIM($V289),KEY!$B$2:$E$58,2,FALSE),""))</f>
        <v>HO</v>
      </c>
      <c r="V289" s="64" t="s">
        <v>24</v>
      </c>
      <c r="W289" s="64">
        <v>19</v>
      </c>
      <c r="X289" s="64">
        <v>1</v>
      </c>
      <c r="Y289" s="64">
        <v>5.2631578947368418E-2</v>
      </c>
      <c r="Z289" s="64">
        <v>0</v>
      </c>
      <c r="AA289" s="64">
        <v>1</v>
      </c>
      <c r="AB289" s="64">
        <v>0</v>
      </c>
      <c r="AC289" s="64">
        <v>0</v>
      </c>
      <c r="AD289" s="64">
        <v>1</v>
      </c>
      <c r="AE289" s="64">
        <v>5.2631578947368418E-2</v>
      </c>
      <c r="AF289" s="64">
        <v>3</v>
      </c>
      <c r="AG289" s="64">
        <v>0</v>
      </c>
      <c r="AH289" s="64">
        <v>14</v>
      </c>
      <c r="AI289" s="64">
        <v>0.89473684210526316</v>
      </c>
      <c r="AJ289" s="64">
        <v>0</v>
      </c>
      <c r="AK289" s="64">
        <v>1</v>
      </c>
      <c r="AL289" s="64">
        <v>0</v>
      </c>
      <c r="AM289" s="64">
        <v>5.2631578947368418E-2</v>
      </c>
    </row>
    <row r="290" spans="2:39" x14ac:dyDescent="0.2">
      <c r="B290" t="str">
        <f t="shared" si="136"/>
        <v>TX-4</v>
      </c>
      <c r="C290" t="str">
        <f t="shared" si="137"/>
        <v>Nov 2024-TX-4</v>
      </c>
      <c r="D290">
        <f t="shared" si="138"/>
        <v>4</v>
      </c>
      <c r="E290">
        <f t="shared" si="139"/>
        <v>3.04</v>
      </c>
      <c r="F290">
        <f t="shared" si="140"/>
        <v>4</v>
      </c>
      <c r="G290">
        <f t="shared" si="141"/>
        <v>3</v>
      </c>
      <c r="H290" t="str">
        <f>IF(V290="","",IFERROR(VLOOKUP(TRIM($V290),KEY!$B$2:$E$58,3,FALSE),""))</f>
        <v>TX</v>
      </c>
      <c r="I290" t="str">
        <f t="shared" si="142"/>
        <v>WEST-27</v>
      </c>
      <c r="J290" t="str">
        <f t="shared" si="143"/>
        <v>Mar 2025-WEST-27</v>
      </c>
      <c r="K290">
        <f t="shared" si="144"/>
        <v>27</v>
      </c>
      <c r="L290">
        <f t="shared" si="145"/>
        <v>13.23</v>
      </c>
      <c r="M290">
        <f>IF(V290="","",IFERROR(VLOOKUP(TRIM($V290),KEY!$B$2:$E$58,4,FALSE),""))</f>
        <v>23</v>
      </c>
      <c r="N290">
        <f t="shared" si="146"/>
        <v>13</v>
      </c>
      <c r="O290" t="str">
        <f t="shared" si="147"/>
        <v>HY-1</v>
      </c>
      <c r="P290">
        <f t="shared" si="148"/>
        <v>1</v>
      </c>
      <c r="Q290">
        <f t="shared" si="149"/>
        <v>1.01</v>
      </c>
      <c r="R290">
        <f t="shared" si="150"/>
        <v>1</v>
      </c>
      <c r="S290">
        <f t="shared" si="151"/>
        <v>1</v>
      </c>
      <c r="T290" t="str">
        <f>IF(V290="","",IFERROR(VLOOKUP(TRIM($V290),KEY!$B$2:$E$58,2,FALSE),""))</f>
        <v>HY</v>
      </c>
      <c r="V290" s="64" t="s">
        <v>27</v>
      </c>
      <c r="W290" s="64">
        <v>6</v>
      </c>
      <c r="X290" s="64">
        <v>0</v>
      </c>
      <c r="Y290" s="64">
        <v>0</v>
      </c>
      <c r="Z290" s="64">
        <v>0</v>
      </c>
      <c r="AA290" s="64">
        <v>0</v>
      </c>
      <c r="AB290" s="64">
        <v>0</v>
      </c>
      <c r="AC290" s="64">
        <v>0</v>
      </c>
      <c r="AD290" s="64">
        <v>0</v>
      </c>
      <c r="AE290" s="64">
        <v>0</v>
      </c>
      <c r="AF290" s="64">
        <v>0</v>
      </c>
      <c r="AG290" s="64">
        <v>0</v>
      </c>
      <c r="AH290" s="64">
        <v>6</v>
      </c>
      <c r="AI290" s="64">
        <v>1</v>
      </c>
      <c r="AJ290" s="64">
        <v>0</v>
      </c>
      <c r="AK290" s="64">
        <v>0</v>
      </c>
      <c r="AL290" s="64">
        <v>0</v>
      </c>
      <c r="AM290" s="64">
        <v>0</v>
      </c>
    </row>
    <row r="291" spans="2:39" x14ac:dyDescent="0.2">
      <c r="B291" t="str">
        <f t="shared" si="136"/>
        <v>SoCal-8</v>
      </c>
      <c r="C291" t="str">
        <f t="shared" si="137"/>
        <v>Nov 2024-SoCal-8</v>
      </c>
      <c r="D291">
        <f t="shared" si="138"/>
        <v>8</v>
      </c>
      <c r="E291">
        <f t="shared" si="139"/>
        <v>4.0599999999999996</v>
      </c>
      <c r="F291">
        <f t="shared" si="140"/>
        <v>6</v>
      </c>
      <c r="G291">
        <f t="shared" si="141"/>
        <v>4</v>
      </c>
      <c r="H291" t="str">
        <f>IF(V291="","",IFERROR(VLOOKUP(TRIM($V291),KEY!$B$2:$E$58,3,FALSE),""))</f>
        <v>SoCal</v>
      </c>
      <c r="I291" t="str">
        <f t="shared" si="142"/>
        <v>WEST-28</v>
      </c>
      <c r="J291" t="str">
        <f t="shared" si="143"/>
        <v>Mar 2025-WEST-28</v>
      </c>
      <c r="K291">
        <f t="shared" si="144"/>
        <v>28</v>
      </c>
      <c r="L291">
        <f t="shared" si="145"/>
        <v>13.24</v>
      </c>
      <c r="M291">
        <f>IF(V291="","",IFERROR(VLOOKUP(TRIM($V291),KEY!$B$2:$E$58,4,FALSE),""))</f>
        <v>24</v>
      </c>
      <c r="N291">
        <f t="shared" si="146"/>
        <v>13</v>
      </c>
      <c r="O291" t="str">
        <f t="shared" si="147"/>
        <v>AC-4</v>
      </c>
      <c r="P291">
        <f t="shared" si="148"/>
        <v>4</v>
      </c>
      <c r="Q291">
        <f t="shared" si="149"/>
        <v>1.04</v>
      </c>
      <c r="R291">
        <f t="shared" si="150"/>
        <v>4</v>
      </c>
      <c r="S291">
        <f t="shared" si="151"/>
        <v>1</v>
      </c>
      <c r="T291" t="str">
        <f>IF(V291="","",IFERROR(VLOOKUP(TRIM($V291),KEY!$B$2:$E$58,2,FALSE),""))</f>
        <v>AC</v>
      </c>
      <c r="V291" s="64" t="s">
        <v>73</v>
      </c>
      <c r="W291" s="64">
        <v>14</v>
      </c>
      <c r="X291" s="64">
        <v>0</v>
      </c>
      <c r="Y291" s="64">
        <v>0</v>
      </c>
      <c r="Z291" s="64">
        <v>0</v>
      </c>
      <c r="AA291" s="64">
        <v>0</v>
      </c>
      <c r="AB291" s="64">
        <v>0</v>
      </c>
      <c r="AC291" s="64">
        <v>0</v>
      </c>
      <c r="AD291" s="64">
        <v>0</v>
      </c>
      <c r="AE291" s="64">
        <v>0</v>
      </c>
      <c r="AF291" s="64">
        <v>0</v>
      </c>
      <c r="AG291" s="64">
        <v>0</v>
      </c>
      <c r="AH291" s="64">
        <v>14</v>
      </c>
      <c r="AI291" s="64">
        <v>1</v>
      </c>
      <c r="AJ291" s="64">
        <v>0</v>
      </c>
      <c r="AK291" s="64">
        <v>0</v>
      </c>
      <c r="AL291" s="64">
        <v>0</v>
      </c>
      <c r="AM291" s="64">
        <v>0</v>
      </c>
    </row>
    <row r="292" spans="2:39" x14ac:dyDescent="0.2">
      <c r="B292" t="str">
        <f t="shared" si="136"/>
        <v>SoCal-9</v>
      </c>
      <c r="C292" t="str">
        <f t="shared" si="137"/>
        <v>Nov 2024-SoCal-9</v>
      </c>
      <c r="D292">
        <f t="shared" si="138"/>
        <v>9</v>
      </c>
      <c r="E292">
        <f t="shared" si="139"/>
        <v>4.07</v>
      </c>
      <c r="F292">
        <f t="shared" si="140"/>
        <v>7</v>
      </c>
      <c r="G292">
        <f t="shared" si="141"/>
        <v>4</v>
      </c>
      <c r="H292" t="str">
        <f>IF(V292="","",IFERROR(VLOOKUP(TRIM($V292),KEY!$B$2:$E$58,3,FALSE),""))</f>
        <v>SoCal</v>
      </c>
      <c r="I292" t="str">
        <f t="shared" si="142"/>
        <v>WEST-29</v>
      </c>
      <c r="J292" t="str">
        <f t="shared" si="143"/>
        <v>Mar 2025-WEST-29</v>
      </c>
      <c r="K292">
        <f t="shared" si="144"/>
        <v>29</v>
      </c>
      <c r="L292">
        <f t="shared" si="145"/>
        <v>13.25</v>
      </c>
      <c r="M292">
        <f>IF(V292="","",IFERROR(VLOOKUP(TRIM($V292),KEY!$B$2:$E$58,4,FALSE),""))</f>
        <v>25</v>
      </c>
      <c r="N292">
        <f t="shared" si="146"/>
        <v>13</v>
      </c>
      <c r="O292" t="str">
        <f t="shared" si="147"/>
        <v>TO-1</v>
      </c>
      <c r="P292">
        <f t="shared" si="148"/>
        <v>1</v>
      </c>
      <c r="Q292">
        <f t="shared" si="149"/>
        <v>1.01</v>
      </c>
      <c r="R292">
        <f t="shared" si="150"/>
        <v>1</v>
      </c>
      <c r="S292">
        <f t="shared" si="151"/>
        <v>1</v>
      </c>
      <c r="T292" t="str">
        <f>IF(V292="","",IFERROR(VLOOKUP(TRIM($V292),KEY!$B$2:$E$58,2,FALSE),""))</f>
        <v>TO</v>
      </c>
      <c r="V292" s="64" t="s">
        <v>49</v>
      </c>
      <c r="W292" s="64">
        <v>19</v>
      </c>
      <c r="X292" s="64">
        <v>0</v>
      </c>
      <c r="Y292" s="64">
        <v>0</v>
      </c>
      <c r="Z292" s="64">
        <v>0</v>
      </c>
      <c r="AA292" s="64">
        <v>0</v>
      </c>
      <c r="AB292" s="64">
        <v>0</v>
      </c>
      <c r="AC292" s="64">
        <v>0</v>
      </c>
      <c r="AD292" s="64">
        <v>0</v>
      </c>
      <c r="AE292" s="64">
        <v>0</v>
      </c>
      <c r="AF292" s="64">
        <v>0</v>
      </c>
      <c r="AG292" s="64">
        <v>0</v>
      </c>
      <c r="AH292" s="64">
        <v>19</v>
      </c>
      <c r="AI292" s="64">
        <v>1</v>
      </c>
      <c r="AJ292" s="64">
        <v>0</v>
      </c>
      <c r="AK292" s="64">
        <v>0</v>
      </c>
      <c r="AL292" s="64">
        <v>0</v>
      </c>
      <c r="AM292" s="64">
        <v>0</v>
      </c>
    </row>
    <row r="293" spans="2:39" x14ac:dyDescent="0.2">
      <c r="B293" t="str">
        <f t="shared" si="136"/>
        <v>AZ-2</v>
      </c>
      <c r="C293" t="str">
        <f t="shared" si="137"/>
        <v>Nov 2024-AZ-2</v>
      </c>
      <c r="D293">
        <f t="shared" si="138"/>
        <v>2</v>
      </c>
      <c r="E293">
        <f t="shared" si="139"/>
        <v>1.06</v>
      </c>
      <c r="F293">
        <f t="shared" si="140"/>
        <v>6</v>
      </c>
      <c r="G293">
        <f t="shared" si="141"/>
        <v>1</v>
      </c>
      <c r="H293" t="str">
        <f>IF(V293="","",IFERROR(VLOOKUP(TRIM($V293),KEY!$B$2:$E$58,3,FALSE),""))</f>
        <v>AZ</v>
      </c>
      <c r="I293" t="str">
        <f t="shared" si="142"/>
        <v>WEST--</v>
      </c>
      <c r="J293" t="str">
        <f t="shared" si="143"/>
        <v>Mar 2025-WEST--</v>
      </c>
      <c r="K293" t="str">
        <f t="shared" si="144"/>
        <v>-</v>
      </c>
      <c r="L293" t="str">
        <f t="shared" si="145"/>
        <v>-</v>
      </c>
      <c r="M293">
        <f>IF(V293="","",IFERROR(VLOOKUP(TRIM($V293),KEY!$B$2:$E$58,4,FALSE),""))</f>
        <v>26</v>
      </c>
      <c r="N293" t="str">
        <f t="shared" si="146"/>
        <v>-</v>
      </c>
      <c r="O293" t="str">
        <f t="shared" si="147"/>
        <v>LA-1</v>
      </c>
      <c r="P293">
        <f t="shared" si="148"/>
        <v>1</v>
      </c>
      <c r="Q293">
        <f t="shared" si="149"/>
        <v>1.01</v>
      </c>
      <c r="R293">
        <f t="shared" si="150"/>
        <v>1</v>
      </c>
      <c r="S293">
        <f t="shared" si="151"/>
        <v>1</v>
      </c>
      <c r="T293" t="str">
        <f>IF(V293="","",IFERROR(VLOOKUP(TRIM($V293),KEY!$B$2:$E$58,2,FALSE),""))</f>
        <v>LA</v>
      </c>
      <c r="V293" s="64" t="s">
        <v>278</v>
      </c>
      <c r="W293" s="64">
        <v>0</v>
      </c>
      <c r="X293" s="64">
        <v>0</v>
      </c>
      <c r="Y293" s="64" t="s">
        <v>274</v>
      </c>
      <c r="Z293" s="64">
        <v>0</v>
      </c>
      <c r="AA293" s="64">
        <v>0</v>
      </c>
      <c r="AB293" s="64">
        <v>0</v>
      </c>
      <c r="AC293" s="64">
        <v>0</v>
      </c>
      <c r="AD293" s="64">
        <v>0</v>
      </c>
      <c r="AE293" s="64" t="s">
        <v>274</v>
      </c>
      <c r="AF293" s="64">
        <v>0</v>
      </c>
      <c r="AG293" s="64">
        <v>0</v>
      </c>
      <c r="AH293" s="64">
        <v>0</v>
      </c>
      <c r="AI293" s="64" t="s">
        <v>274</v>
      </c>
      <c r="AJ293" s="64">
        <v>0</v>
      </c>
      <c r="AK293" s="64">
        <v>0</v>
      </c>
      <c r="AL293" s="64">
        <v>0</v>
      </c>
      <c r="AM293" s="64" t="s">
        <v>274</v>
      </c>
    </row>
    <row r="294" spans="2:39" x14ac:dyDescent="0.2">
      <c r="B294" t="str">
        <f t="shared" si="136"/>
        <v>AZ-9</v>
      </c>
      <c r="C294" t="str">
        <f t="shared" si="137"/>
        <v>Nov 2024-AZ-9</v>
      </c>
      <c r="D294">
        <f t="shared" si="138"/>
        <v>9</v>
      </c>
      <c r="E294">
        <f t="shared" si="139"/>
        <v>4.07</v>
      </c>
      <c r="F294">
        <f t="shared" si="140"/>
        <v>7</v>
      </c>
      <c r="G294">
        <f t="shared" si="141"/>
        <v>4</v>
      </c>
      <c r="H294" t="str">
        <f>IF(V294="","",IFERROR(VLOOKUP(TRIM($V294),KEY!$B$2:$E$58,3,FALSE),""))</f>
        <v>AZ</v>
      </c>
      <c r="I294" t="str">
        <f t="shared" si="142"/>
        <v>WEST-30</v>
      </c>
      <c r="J294" t="str">
        <f t="shared" si="143"/>
        <v>Mar 2025-WEST-30</v>
      </c>
      <c r="K294">
        <f t="shared" si="144"/>
        <v>30</v>
      </c>
      <c r="L294">
        <f t="shared" si="145"/>
        <v>13.27</v>
      </c>
      <c r="M294">
        <f>IF(V294="","",IFERROR(VLOOKUP(TRIM($V294),KEY!$B$2:$E$58,4,FALSE),""))</f>
        <v>27</v>
      </c>
      <c r="N294">
        <f t="shared" si="146"/>
        <v>13</v>
      </c>
      <c r="O294" t="str">
        <f t="shared" si="147"/>
        <v>JA-1</v>
      </c>
      <c r="P294">
        <f t="shared" si="148"/>
        <v>1</v>
      </c>
      <c r="Q294">
        <f t="shared" si="149"/>
        <v>1.01</v>
      </c>
      <c r="R294">
        <f t="shared" si="150"/>
        <v>1</v>
      </c>
      <c r="S294">
        <f t="shared" si="151"/>
        <v>1</v>
      </c>
      <c r="T294" t="str">
        <f>IF(V294="","",IFERROR(VLOOKUP(TRIM($V294),KEY!$B$2:$E$58,2,FALSE),""))</f>
        <v>JA</v>
      </c>
      <c r="V294" s="64" t="s">
        <v>261</v>
      </c>
      <c r="W294" s="64">
        <v>4</v>
      </c>
      <c r="X294" s="64">
        <v>0</v>
      </c>
      <c r="Y294" s="64">
        <v>0</v>
      </c>
      <c r="Z294" s="64">
        <v>0</v>
      </c>
      <c r="AA294" s="64">
        <v>0</v>
      </c>
      <c r="AB294" s="64">
        <v>0</v>
      </c>
      <c r="AC294" s="64">
        <v>0</v>
      </c>
      <c r="AD294" s="64">
        <v>0</v>
      </c>
      <c r="AE294" s="64">
        <v>0</v>
      </c>
      <c r="AF294" s="64">
        <v>0</v>
      </c>
      <c r="AG294" s="64">
        <v>0</v>
      </c>
      <c r="AH294" s="64">
        <v>4</v>
      </c>
      <c r="AI294" s="64">
        <v>1</v>
      </c>
      <c r="AJ294" s="64">
        <v>0</v>
      </c>
      <c r="AK294" s="64">
        <v>0</v>
      </c>
      <c r="AL294" s="64">
        <v>0</v>
      </c>
      <c r="AM294" s="64">
        <v>0</v>
      </c>
    </row>
    <row r="295" spans="2:39" x14ac:dyDescent="0.2">
      <c r="B295" t="str">
        <f t="shared" si="136"/>
        <v>AZ-10</v>
      </c>
      <c r="C295" t="str">
        <f t="shared" si="137"/>
        <v>Nov 2024-AZ-10</v>
      </c>
      <c r="D295">
        <f t="shared" si="138"/>
        <v>10</v>
      </c>
      <c r="E295">
        <f t="shared" si="139"/>
        <v>4.08</v>
      </c>
      <c r="F295">
        <f t="shared" si="140"/>
        <v>8</v>
      </c>
      <c r="G295">
        <f t="shared" si="141"/>
        <v>4</v>
      </c>
      <c r="H295" t="str">
        <f>IF(V295="","",IFERROR(VLOOKUP(TRIM($V295),KEY!$B$2:$E$58,3,FALSE),""))</f>
        <v>AZ</v>
      </c>
      <c r="I295" t="str">
        <f t="shared" si="142"/>
        <v>WEST-31</v>
      </c>
      <c r="J295" t="str">
        <f t="shared" si="143"/>
        <v>Mar 2025-WEST-31</v>
      </c>
      <c r="K295">
        <f t="shared" si="144"/>
        <v>31</v>
      </c>
      <c r="L295">
        <f t="shared" si="145"/>
        <v>13.28</v>
      </c>
      <c r="M295">
        <f>IF(V295="","",IFERROR(VLOOKUP(TRIM($V295),KEY!$B$2:$E$58,4,FALSE),""))</f>
        <v>28</v>
      </c>
      <c r="N295">
        <f t="shared" si="146"/>
        <v>13</v>
      </c>
      <c r="O295" t="str">
        <f t="shared" si="147"/>
        <v>JA-2</v>
      </c>
      <c r="P295">
        <f t="shared" si="148"/>
        <v>2</v>
      </c>
      <c r="Q295">
        <f t="shared" si="149"/>
        <v>1.02</v>
      </c>
      <c r="R295">
        <f t="shared" si="150"/>
        <v>2</v>
      </c>
      <c r="S295">
        <f t="shared" si="151"/>
        <v>1</v>
      </c>
      <c r="T295" t="str">
        <f>IF(V295="","",IFERROR(VLOOKUP(TRIM($V295),KEY!$B$2:$E$58,2,FALSE),""))</f>
        <v>JA</v>
      </c>
      <c r="V295" s="64" t="s">
        <v>260</v>
      </c>
      <c r="W295" s="64">
        <v>5</v>
      </c>
      <c r="X295" s="64">
        <v>0</v>
      </c>
      <c r="Y295" s="64">
        <v>0</v>
      </c>
      <c r="Z295" s="64">
        <v>0</v>
      </c>
      <c r="AA295" s="64">
        <v>0</v>
      </c>
      <c r="AB295" s="64">
        <v>0</v>
      </c>
      <c r="AC295" s="64">
        <v>0</v>
      </c>
      <c r="AD295" s="64">
        <v>0</v>
      </c>
      <c r="AE295" s="64">
        <v>0</v>
      </c>
      <c r="AF295" s="64">
        <v>0</v>
      </c>
      <c r="AG295" s="64">
        <v>0</v>
      </c>
      <c r="AH295" s="64">
        <v>5</v>
      </c>
      <c r="AI295" s="64">
        <v>1</v>
      </c>
      <c r="AJ295" s="64">
        <v>0</v>
      </c>
      <c r="AK295" s="64">
        <v>0</v>
      </c>
      <c r="AL295" s="64">
        <v>0</v>
      </c>
      <c r="AM295" s="64">
        <v>0</v>
      </c>
    </row>
    <row r="296" spans="2:39" x14ac:dyDescent="0.2">
      <c r="B296" t="str">
        <f t="shared" si="136"/>
        <v>TX-5</v>
      </c>
      <c r="C296" t="str">
        <f t="shared" si="137"/>
        <v>Nov 2024-TX-5</v>
      </c>
      <c r="D296">
        <f t="shared" si="138"/>
        <v>5</v>
      </c>
      <c r="E296">
        <f t="shared" si="139"/>
        <v>3.05</v>
      </c>
      <c r="F296">
        <f t="shared" si="140"/>
        <v>5</v>
      </c>
      <c r="G296">
        <f t="shared" si="141"/>
        <v>3</v>
      </c>
      <c r="H296" t="str">
        <f>IF(V296="","",IFERROR(VLOOKUP(TRIM($V296),KEY!$B$2:$E$58,3,FALSE),""))</f>
        <v>TX</v>
      </c>
      <c r="I296" t="str">
        <f t="shared" si="142"/>
        <v>WEST-32</v>
      </c>
      <c r="J296" t="str">
        <f t="shared" si="143"/>
        <v>Mar 2025-WEST-32</v>
      </c>
      <c r="K296">
        <f t="shared" si="144"/>
        <v>32</v>
      </c>
      <c r="L296">
        <f t="shared" si="145"/>
        <v>13.29</v>
      </c>
      <c r="M296">
        <f>IF(V296="","",IFERROR(VLOOKUP(TRIM($V296),KEY!$B$2:$E$58,4,FALSE),""))</f>
        <v>29</v>
      </c>
      <c r="N296">
        <f t="shared" si="146"/>
        <v>13</v>
      </c>
      <c r="O296" t="str">
        <f t="shared" si="147"/>
        <v>LE-1</v>
      </c>
      <c r="P296">
        <f t="shared" si="148"/>
        <v>1</v>
      </c>
      <c r="Q296">
        <f t="shared" si="149"/>
        <v>1.01</v>
      </c>
      <c r="R296">
        <f t="shared" si="150"/>
        <v>1</v>
      </c>
      <c r="S296">
        <f t="shared" si="151"/>
        <v>1</v>
      </c>
      <c r="T296" t="str">
        <f>IF(V296="","",IFERROR(VLOOKUP(TRIM($V296),KEY!$B$2:$E$58,2,FALSE),""))</f>
        <v>LE</v>
      </c>
      <c r="V296" s="64" t="s">
        <v>29</v>
      </c>
      <c r="W296" s="64">
        <v>29</v>
      </c>
      <c r="X296" s="64">
        <v>0</v>
      </c>
      <c r="Y296" s="64">
        <v>0</v>
      </c>
      <c r="Z296" s="64">
        <v>0</v>
      </c>
      <c r="AA296" s="64">
        <v>0</v>
      </c>
      <c r="AB296" s="64">
        <v>0</v>
      </c>
      <c r="AC296" s="64">
        <v>0</v>
      </c>
      <c r="AD296" s="64">
        <v>0</v>
      </c>
      <c r="AE296" s="64">
        <v>0</v>
      </c>
      <c r="AF296" s="64">
        <v>0</v>
      </c>
      <c r="AG296" s="64">
        <v>0</v>
      </c>
      <c r="AH296" s="64">
        <v>29</v>
      </c>
      <c r="AI296" s="64">
        <v>1</v>
      </c>
      <c r="AJ296" s="64">
        <v>0</v>
      </c>
      <c r="AK296" s="64">
        <v>0</v>
      </c>
      <c r="AL296" s="64">
        <v>0</v>
      </c>
      <c r="AM296" s="64">
        <v>0</v>
      </c>
    </row>
    <row r="297" spans="2:39" x14ac:dyDescent="0.2">
      <c r="B297" t="str">
        <f t="shared" si="136"/>
        <v>AZ-11</v>
      </c>
      <c r="C297" t="str">
        <f t="shared" si="137"/>
        <v>Nov 2024-AZ-11</v>
      </c>
      <c r="D297">
        <f t="shared" si="138"/>
        <v>11</v>
      </c>
      <c r="E297">
        <f t="shared" si="139"/>
        <v>4.09</v>
      </c>
      <c r="F297">
        <f t="shared" si="140"/>
        <v>9</v>
      </c>
      <c r="G297">
        <f t="shared" si="141"/>
        <v>4</v>
      </c>
      <c r="H297" t="str">
        <f>IF(V297="","",IFERROR(VLOOKUP(TRIM($V297),KEY!$B$2:$E$58,3,FALSE),""))</f>
        <v>AZ</v>
      </c>
      <c r="I297" t="str">
        <f t="shared" si="142"/>
        <v>WEST-33</v>
      </c>
      <c r="J297" t="str">
        <f t="shared" si="143"/>
        <v>Mar 2025-WEST-33</v>
      </c>
      <c r="K297">
        <f t="shared" si="144"/>
        <v>33</v>
      </c>
      <c r="L297">
        <f t="shared" si="145"/>
        <v>13.3</v>
      </c>
      <c r="M297">
        <f>IF(V297="","",IFERROR(VLOOKUP(TRIM($V297),KEY!$B$2:$E$58,4,FALSE),""))</f>
        <v>30</v>
      </c>
      <c r="N297">
        <f t="shared" si="146"/>
        <v>13</v>
      </c>
      <c r="O297" t="str">
        <f t="shared" si="147"/>
        <v>LE-2</v>
      </c>
      <c r="P297">
        <f t="shared" si="148"/>
        <v>2</v>
      </c>
      <c r="Q297">
        <f t="shared" si="149"/>
        <v>1.02</v>
      </c>
      <c r="R297">
        <f t="shared" si="150"/>
        <v>2</v>
      </c>
      <c r="S297">
        <f t="shared" si="151"/>
        <v>1</v>
      </c>
      <c r="T297" t="str">
        <f>IF(V297="","",IFERROR(VLOOKUP(TRIM($V297),KEY!$B$2:$E$58,2,FALSE),""))</f>
        <v>LE</v>
      </c>
      <c r="V297" s="64" t="s">
        <v>30</v>
      </c>
      <c r="W297" s="64">
        <v>7</v>
      </c>
      <c r="X297" s="64">
        <v>0</v>
      </c>
      <c r="Y297" s="64">
        <v>0</v>
      </c>
      <c r="Z297" s="64">
        <v>0</v>
      </c>
      <c r="AA297" s="64">
        <v>0</v>
      </c>
      <c r="AB297" s="64">
        <v>0</v>
      </c>
      <c r="AC297" s="64">
        <v>0</v>
      </c>
      <c r="AD297" s="64">
        <v>0</v>
      </c>
      <c r="AE297" s="64">
        <v>0</v>
      </c>
      <c r="AF297" s="64">
        <v>0</v>
      </c>
      <c r="AG297" s="64">
        <v>0</v>
      </c>
      <c r="AH297" s="64">
        <v>7</v>
      </c>
      <c r="AI297" s="64">
        <v>1</v>
      </c>
      <c r="AJ297" s="64">
        <v>0</v>
      </c>
      <c r="AK297" s="64">
        <v>0</v>
      </c>
      <c r="AL297" s="64">
        <v>0</v>
      </c>
      <c r="AM297" s="64">
        <v>0</v>
      </c>
    </row>
    <row r="298" spans="2:39" x14ac:dyDescent="0.2">
      <c r="B298" t="str">
        <f t="shared" si="136"/>
        <v>TX-6</v>
      </c>
      <c r="C298" t="str">
        <f t="shared" si="137"/>
        <v>Nov 2024-TX-6</v>
      </c>
      <c r="D298">
        <f t="shared" si="138"/>
        <v>6</v>
      </c>
      <c r="E298">
        <f t="shared" si="139"/>
        <v>3.06</v>
      </c>
      <c r="F298">
        <f t="shared" si="140"/>
        <v>6</v>
      </c>
      <c r="G298">
        <f t="shared" si="141"/>
        <v>3</v>
      </c>
      <c r="H298" t="str">
        <f>IF(V298="","",IFERROR(VLOOKUP(TRIM($V298),KEY!$B$2:$E$58,3,FALSE),""))</f>
        <v>TX</v>
      </c>
      <c r="I298" t="str">
        <f t="shared" si="142"/>
        <v>WEST-34</v>
      </c>
      <c r="J298" t="str">
        <f t="shared" si="143"/>
        <v>Mar 2025-WEST-34</v>
      </c>
      <c r="K298">
        <f t="shared" si="144"/>
        <v>34</v>
      </c>
      <c r="L298">
        <f t="shared" si="145"/>
        <v>13.31</v>
      </c>
      <c r="M298">
        <f>IF(V298="","",IFERROR(VLOOKUP(TRIM($V298),KEY!$B$2:$E$58,4,FALSE),""))</f>
        <v>31</v>
      </c>
      <c r="N298">
        <f t="shared" si="146"/>
        <v>13</v>
      </c>
      <c r="O298" t="str">
        <f t="shared" si="147"/>
        <v>LE-3</v>
      </c>
      <c r="P298">
        <f t="shared" si="148"/>
        <v>3</v>
      </c>
      <c r="Q298">
        <f t="shared" si="149"/>
        <v>1.03</v>
      </c>
      <c r="R298">
        <f t="shared" si="150"/>
        <v>3</v>
      </c>
      <c r="S298">
        <f t="shared" si="151"/>
        <v>1</v>
      </c>
      <c r="T298" t="str">
        <f>IF(V298="","",IFERROR(VLOOKUP(TRIM($V298),KEY!$B$2:$E$58,2,FALSE),""))</f>
        <v>LE</v>
      </c>
      <c r="V298" s="64" t="s">
        <v>31</v>
      </c>
      <c r="W298" s="64">
        <v>8</v>
      </c>
      <c r="X298" s="64">
        <v>0</v>
      </c>
      <c r="Y298" s="64">
        <v>0</v>
      </c>
      <c r="Z298" s="64">
        <v>0</v>
      </c>
      <c r="AA298" s="64">
        <v>0</v>
      </c>
      <c r="AB298" s="64">
        <v>0</v>
      </c>
      <c r="AC298" s="64">
        <v>0</v>
      </c>
      <c r="AD298" s="64">
        <v>0</v>
      </c>
      <c r="AE298" s="64">
        <v>0</v>
      </c>
      <c r="AF298" s="64">
        <v>0</v>
      </c>
      <c r="AG298" s="64">
        <v>0</v>
      </c>
      <c r="AH298" s="64">
        <v>8</v>
      </c>
      <c r="AI298" s="64">
        <v>1</v>
      </c>
      <c r="AJ298" s="64">
        <v>0</v>
      </c>
      <c r="AK298" s="64">
        <v>0</v>
      </c>
      <c r="AL298" s="64">
        <v>0</v>
      </c>
      <c r="AM298" s="64">
        <v>0</v>
      </c>
    </row>
    <row r="299" spans="2:39" x14ac:dyDescent="0.2">
      <c r="B299" t="str">
        <f t="shared" si="136"/>
        <v>SoCal-10</v>
      </c>
      <c r="C299" t="str">
        <f t="shared" si="137"/>
        <v>Nov 2024-SoCal-10</v>
      </c>
      <c r="D299">
        <f t="shared" si="138"/>
        <v>10</v>
      </c>
      <c r="E299">
        <f t="shared" si="139"/>
        <v>4.08</v>
      </c>
      <c r="F299">
        <f t="shared" si="140"/>
        <v>8</v>
      </c>
      <c r="G299">
        <f t="shared" si="141"/>
        <v>4</v>
      </c>
      <c r="H299" t="str">
        <f>IF(V299="","",IFERROR(VLOOKUP(TRIM($V299),KEY!$B$2:$E$58,3,FALSE),""))</f>
        <v>SoCal</v>
      </c>
      <c r="I299" t="str">
        <f t="shared" si="142"/>
        <v>WEST-35</v>
      </c>
      <c r="J299" t="str">
        <f t="shared" si="143"/>
        <v>Mar 2025-WEST-35</v>
      </c>
      <c r="K299">
        <f t="shared" si="144"/>
        <v>35</v>
      </c>
      <c r="L299">
        <f t="shared" si="145"/>
        <v>13.32</v>
      </c>
      <c r="M299">
        <f>IF(V299="","",IFERROR(VLOOKUP(TRIM($V299),KEY!$B$2:$E$58,4,FALSE),""))</f>
        <v>32</v>
      </c>
      <c r="N299">
        <f t="shared" si="146"/>
        <v>13</v>
      </c>
      <c r="O299" t="str">
        <f t="shared" si="147"/>
        <v>LE-4</v>
      </c>
      <c r="P299">
        <f t="shared" si="148"/>
        <v>4</v>
      </c>
      <c r="Q299">
        <f t="shared" si="149"/>
        <v>1.04</v>
      </c>
      <c r="R299">
        <f t="shared" si="150"/>
        <v>4</v>
      </c>
      <c r="S299">
        <f t="shared" si="151"/>
        <v>1</v>
      </c>
      <c r="T299" t="str">
        <f>IF(V299="","",IFERROR(VLOOKUP(TRIM($V299),KEY!$B$2:$E$58,2,FALSE),""))</f>
        <v>LE</v>
      </c>
      <c r="V299" s="64" t="s">
        <v>32</v>
      </c>
      <c r="W299" s="64">
        <v>26</v>
      </c>
      <c r="X299" s="64">
        <v>0</v>
      </c>
      <c r="Y299" s="64">
        <v>0</v>
      </c>
      <c r="Z299" s="64">
        <v>0</v>
      </c>
      <c r="AA299" s="64">
        <v>0</v>
      </c>
      <c r="AB299" s="64">
        <v>0</v>
      </c>
      <c r="AC299" s="64">
        <v>0</v>
      </c>
      <c r="AD299" s="64">
        <v>0</v>
      </c>
      <c r="AE299" s="64">
        <v>0</v>
      </c>
      <c r="AF299" s="64">
        <v>0</v>
      </c>
      <c r="AG299" s="64">
        <v>0</v>
      </c>
      <c r="AH299" s="64">
        <v>26</v>
      </c>
      <c r="AI299" s="64">
        <v>1</v>
      </c>
      <c r="AJ299" s="64">
        <v>0</v>
      </c>
      <c r="AK299" s="64">
        <v>0</v>
      </c>
      <c r="AL299" s="64">
        <v>0</v>
      </c>
      <c r="AM299" s="64">
        <v>0</v>
      </c>
    </row>
    <row r="300" spans="2:39" x14ac:dyDescent="0.2">
      <c r="B300" t="str">
        <f t="shared" si="136"/>
        <v>OC-7</v>
      </c>
      <c r="C300" t="str">
        <f t="shared" si="137"/>
        <v>Nov 2024-OC-7</v>
      </c>
      <c r="D300">
        <f t="shared" si="138"/>
        <v>7</v>
      </c>
      <c r="E300">
        <f t="shared" si="139"/>
        <v>3.06</v>
      </c>
      <c r="F300">
        <f t="shared" si="140"/>
        <v>6</v>
      </c>
      <c r="G300">
        <f t="shared" si="141"/>
        <v>3</v>
      </c>
      <c r="H300" t="str">
        <f>IF(V300="","",IFERROR(VLOOKUP(TRIM($V300),KEY!$B$2:$E$58,3,FALSE),""))</f>
        <v>OC</v>
      </c>
      <c r="I300" t="str">
        <f t="shared" si="142"/>
        <v>WEST-36</v>
      </c>
      <c r="J300" t="str">
        <f t="shared" si="143"/>
        <v>Mar 2025-WEST-36</v>
      </c>
      <c r="K300">
        <f t="shared" si="144"/>
        <v>36</v>
      </c>
      <c r="L300">
        <f t="shared" si="145"/>
        <v>13.33</v>
      </c>
      <c r="M300">
        <f>IF(V300="","",IFERROR(VLOOKUP(TRIM($V300),KEY!$B$2:$E$58,4,FALSE),""))</f>
        <v>33</v>
      </c>
      <c r="N300">
        <f t="shared" si="146"/>
        <v>13</v>
      </c>
      <c r="O300" t="str">
        <f t="shared" si="147"/>
        <v>LI-1</v>
      </c>
      <c r="P300">
        <f t="shared" si="148"/>
        <v>1</v>
      </c>
      <c r="Q300">
        <f t="shared" si="149"/>
        <v>1.01</v>
      </c>
      <c r="R300">
        <f t="shared" si="150"/>
        <v>1</v>
      </c>
      <c r="S300">
        <f t="shared" si="151"/>
        <v>1</v>
      </c>
      <c r="T300" t="str">
        <f>IF(V300="","",IFERROR(VLOOKUP(TRIM($V300),KEY!$B$2:$E$58,2,FALSE),""))</f>
        <v>LI</v>
      </c>
      <c r="V300" s="64" t="s">
        <v>33</v>
      </c>
      <c r="W300" s="64">
        <v>10</v>
      </c>
      <c r="X300" s="64">
        <v>0</v>
      </c>
      <c r="Y300" s="64">
        <v>0</v>
      </c>
      <c r="Z300" s="64">
        <v>0</v>
      </c>
      <c r="AA300" s="64">
        <v>0</v>
      </c>
      <c r="AB300" s="64">
        <v>0</v>
      </c>
      <c r="AC300" s="64">
        <v>0</v>
      </c>
      <c r="AD300" s="64">
        <v>0</v>
      </c>
      <c r="AE300" s="64">
        <v>0</v>
      </c>
      <c r="AF300" s="64">
        <v>10</v>
      </c>
      <c r="AG300" s="64">
        <v>0</v>
      </c>
      <c r="AH300" s="64">
        <v>0</v>
      </c>
      <c r="AI300" s="64">
        <v>1</v>
      </c>
      <c r="AJ300" s="64">
        <v>0</v>
      </c>
      <c r="AK300" s="64">
        <v>0</v>
      </c>
      <c r="AL300" s="64">
        <v>0</v>
      </c>
      <c r="AM300" s="64">
        <v>0</v>
      </c>
    </row>
    <row r="301" spans="2:39" x14ac:dyDescent="0.2">
      <c r="B301" t="str">
        <f t="shared" si="136"/>
        <v>SoCal-3</v>
      </c>
      <c r="C301" t="str">
        <f t="shared" si="137"/>
        <v>Nov 2024-SoCal-3</v>
      </c>
      <c r="D301">
        <f t="shared" si="138"/>
        <v>3</v>
      </c>
      <c r="E301">
        <f t="shared" si="139"/>
        <v>3.09</v>
      </c>
      <c r="F301">
        <f t="shared" si="140"/>
        <v>9</v>
      </c>
      <c r="G301">
        <f t="shared" si="141"/>
        <v>3</v>
      </c>
      <c r="H301" t="str">
        <f>IF(V301="","",IFERROR(VLOOKUP(TRIM($V301),KEY!$B$2:$E$58,3,FALSE),""))</f>
        <v>SoCal</v>
      </c>
      <c r="I301" t="str">
        <f t="shared" si="142"/>
        <v>WEST-11</v>
      </c>
      <c r="J301" t="str">
        <f t="shared" si="143"/>
        <v>Mar 2025-WEST-11</v>
      </c>
      <c r="K301">
        <f t="shared" si="144"/>
        <v>11</v>
      </c>
      <c r="L301">
        <f t="shared" si="145"/>
        <v>11.34</v>
      </c>
      <c r="M301">
        <f>IF(V301="","",IFERROR(VLOOKUP(TRIM($V301),KEY!$B$2:$E$58,4,FALSE),""))</f>
        <v>34</v>
      </c>
      <c r="N301">
        <f t="shared" si="146"/>
        <v>11</v>
      </c>
      <c r="O301" t="str">
        <f t="shared" si="147"/>
        <v>MA-1</v>
      </c>
      <c r="P301">
        <f t="shared" si="148"/>
        <v>1</v>
      </c>
      <c r="Q301">
        <f t="shared" si="149"/>
        <v>1.01</v>
      </c>
      <c r="R301">
        <f t="shared" si="150"/>
        <v>1</v>
      </c>
      <c r="S301">
        <f t="shared" si="151"/>
        <v>1</v>
      </c>
      <c r="T301" t="str">
        <f>IF(V301="","",IFERROR(VLOOKUP(TRIM($V301),KEY!$B$2:$E$58,2,FALSE),""))</f>
        <v>MA</v>
      </c>
      <c r="V301" s="64" t="s">
        <v>34</v>
      </c>
      <c r="W301" s="64">
        <v>22</v>
      </c>
      <c r="X301" s="64">
        <v>1</v>
      </c>
      <c r="Y301" s="64">
        <v>4.5454545454545456E-2</v>
      </c>
      <c r="Z301" s="64">
        <v>0</v>
      </c>
      <c r="AA301" s="64">
        <v>1</v>
      </c>
      <c r="AB301" s="64">
        <v>0</v>
      </c>
      <c r="AC301" s="64">
        <v>0</v>
      </c>
      <c r="AD301" s="64">
        <v>1</v>
      </c>
      <c r="AE301" s="64">
        <v>4.5454545454545456E-2</v>
      </c>
      <c r="AF301" s="64">
        <v>0</v>
      </c>
      <c r="AG301" s="64">
        <v>0</v>
      </c>
      <c r="AH301" s="64">
        <v>21</v>
      </c>
      <c r="AI301" s="64">
        <v>0.95454545454545459</v>
      </c>
      <c r="AJ301" s="64">
        <v>0</v>
      </c>
      <c r="AK301" s="64">
        <v>0</v>
      </c>
      <c r="AL301" s="64">
        <v>0</v>
      </c>
      <c r="AM301" s="64">
        <v>0</v>
      </c>
    </row>
    <row r="302" spans="2:39" x14ac:dyDescent="0.2">
      <c r="B302" t="str">
        <f t="shared" si="136"/>
        <v>AZ-12</v>
      </c>
      <c r="C302" t="str">
        <f t="shared" si="137"/>
        <v>Nov 2024-AZ-12</v>
      </c>
      <c r="D302">
        <f t="shared" si="138"/>
        <v>12</v>
      </c>
      <c r="E302">
        <f t="shared" si="139"/>
        <v>4.0999999999999996</v>
      </c>
      <c r="F302">
        <f t="shared" si="140"/>
        <v>10</v>
      </c>
      <c r="G302">
        <f t="shared" si="141"/>
        <v>4</v>
      </c>
      <c r="H302" t="str">
        <f>IF(V302="","",IFERROR(VLOOKUP(TRIM($V302),KEY!$B$2:$E$58,3,FALSE),""))</f>
        <v>AZ</v>
      </c>
      <c r="I302" t="str">
        <f t="shared" si="142"/>
        <v>WEST-37</v>
      </c>
      <c r="J302" t="str">
        <f t="shared" si="143"/>
        <v>Mar 2025-WEST-37</v>
      </c>
      <c r="K302">
        <f t="shared" si="144"/>
        <v>37</v>
      </c>
      <c r="L302">
        <f t="shared" si="145"/>
        <v>13.35</v>
      </c>
      <c r="M302">
        <f>IF(V302="","",IFERROR(VLOOKUP(TRIM($V302),KEY!$B$2:$E$58,4,FALSE),""))</f>
        <v>35</v>
      </c>
      <c r="N302">
        <f t="shared" si="146"/>
        <v>13</v>
      </c>
      <c r="O302" t="str">
        <f t="shared" si="147"/>
        <v>MB-2</v>
      </c>
      <c r="P302">
        <f t="shared" si="148"/>
        <v>2</v>
      </c>
      <c r="Q302">
        <f t="shared" si="149"/>
        <v>2.0099999999999998</v>
      </c>
      <c r="R302">
        <f t="shared" si="150"/>
        <v>1</v>
      </c>
      <c r="S302">
        <f t="shared" si="151"/>
        <v>2</v>
      </c>
      <c r="T302" t="str">
        <f>IF(V302="","",IFERROR(VLOOKUP(TRIM($V302),KEY!$B$2:$E$58,2,FALSE),""))</f>
        <v>MB</v>
      </c>
      <c r="V302" s="64" t="s">
        <v>35</v>
      </c>
      <c r="W302" s="64">
        <v>7</v>
      </c>
      <c r="X302" s="64">
        <v>0</v>
      </c>
      <c r="Y302" s="64">
        <v>0</v>
      </c>
      <c r="Z302" s="64">
        <v>0</v>
      </c>
      <c r="AA302" s="64">
        <v>0</v>
      </c>
      <c r="AB302" s="64">
        <v>0</v>
      </c>
      <c r="AC302" s="64">
        <v>0</v>
      </c>
      <c r="AD302" s="64">
        <v>0</v>
      </c>
      <c r="AE302" s="64">
        <v>0</v>
      </c>
      <c r="AF302" s="64">
        <v>7</v>
      </c>
      <c r="AG302" s="64">
        <v>0</v>
      </c>
      <c r="AH302" s="64">
        <v>0</v>
      </c>
      <c r="AI302" s="64">
        <v>1</v>
      </c>
      <c r="AJ302" s="64">
        <v>0</v>
      </c>
      <c r="AK302" s="64">
        <v>0</v>
      </c>
      <c r="AL302" s="64">
        <v>0</v>
      </c>
      <c r="AM302" s="64">
        <v>0</v>
      </c>
    </row>
    <row r="303" spans="2:39" x14ac:dyDescent="0.2">
      <c r="B303" t="str">
        <f t="shared" si="136"/>
        <v>AZ-13</v>
      </c>
      <c r="C303" t="str">
        <f t="shared" si="137"/>
        <v>Nov 2024-AZ-13</v>
      </c>
      <c r="D303">
        <f t="shared" si="138"/>
        <v>13</v>
      </c>
      <c r="E303">
        <f t="shared" si="139"/>
        <v>4.1100000000000003</v>
      </c>
      <c r="F303">
        <f t="shared" si="140"/>
        <v>11</v>
      </c>
      <c r="G303">
        <f t="shared" si="141"/>
        <v>4</v>
      </c>
      <c r="H303" t="str">
        <f>IF(V303="","",IFERROR(VLOOKUP(TRIM($V303),KEY!$B$2:$E$58,3,FALSE),""))</f>
        <v>AZ</v>
      </c>
      <c r="I303" t="str">
        <f t="shared" si="142"/>
        <v>WEST-38</v>
      </c>
      <c r="J303" t="str">
        <f t="shared" si="143"/>
        <v>Mar 2025-WEST-38</v>
      </c>
      <c r="K303">
        <f t="shared" si="144"/>
        <v>38</v>
      </c>
      <c r="L303">
        <f t="shared" si="145"/>
        <v>13.36</v>
      </c>
      <c r="M303">
        <f>IF(V303="","",IFERROR(VLOOKUP(TRIM($V303),KEY!$B$2:$E$58,4,FALSE),""))</f>
        <v>36</v>
      </c>
      <c r="N303">
        <f t="shared" si="146"/>
        <v>13</v>
      </c>
      <c r="O303" t="str">
        <f t="shared" si="147"/>
        <v>MB-3</v>
      </c>
      <c r="P303">
        <f t="shared" si="148"/>
        <v>3</v>
      </c>
      <c r="Q303">
        <f t="shared" si="149"/>
        <v>2.02</v>
      </c>
      <c r="R303">
        <f t="shared" si="150"/>
        <v>2</v>
      </c>
      <c r="S303">
        <f t="shared" si="151"/>
        <v>2</v>
      </c>
      <c r="T303" t="str">
        <f>IF(V303="","",IFERROR(VLOOKUP(TRIM($V303),KEY!$B$2:$E$58,2,FALSE),""))</f>
        <v>MB</v>
      </c>
      <c r="V303" s="64" t="s">
        <v>270</v>
      </c>
      <c r="W303" s="64">
        <v>17</v>
      </c>
      <c r="X303" s="64">
        <v>0</v>
      </c>
      <c r="Y303" s="64">
        <v>0</v>
      </c>
      <c r="Z303" s="64">
        <v>0</v>
      </c>
      <c r="AA303" s="64">
        <v>0</v>
      </c>
      <c r="AB303" s="64">
        <v>0</v>
      </c>
      <c r="AC303" s="64">
        <v>0</v>
      </c>
      <c r="AD303" s="64">
        <v>0</v>
      </c>
      <c r="AE303" s="64">
        <v>0</v>
      </c>
      <c r="AF303" s="64">
        <v>0</v>
      </c>
      <c r="AG303" s="64">
        <v>0</v>
      </c>
      <c r="AH303" s="64">
        <v>17</v>
      </c>
      <c r="AI303" s="64">
        <v>1</v>
      </c>
      <c r="AJ303" s="64">
        <v>0</v>
      </c>
      <c r="AK303" s="64">
        <v>0</v>
      </c>
      <c r="AL303" s="64">
        <v>0</v>
      </c>
      <c r="AM303" s="64">
        <v>0</v>
      </c>
    </row>
    <row r="304" spans="2:39" x14ac:dyDescent="0.2">
      <c r="B304" t="str">
        <f t="shared" si="136"/>
        <v>SoCal-1</v>
      </c>
      <c r="C304" t="str">
        <f t="shared" si="137"/>
        <v>Nov 2024-SoCal-1</v>
      </c>
      <c r="D304">
        <f t="shared" si="138"/>
        <v>1</v>
      </c>
      <c r="E304">
        <f t="shared" si="139"/>
        <v>1.1000000000000001</v>
      </c>
      <c r="F304">
        <f t="shared" si="140"/>
        <v>10</v>
      </c>
      <c r="G304">
        <f t="shared" si="141"/>
        <v>1</v>
      </c>
      <c r="H304" t="str">
        <f>IF(V304="","",IFERROR(VLOOKUP(TRIM($V304),KEY!$B$2:$E$58,3,FALSE),""))</f>
        <v>SoCal</v>
      </c>
      <c r="I304" t="str">
        <f t="shared" si="142"/>
        <v>WEST-7</v>
      </c>
      <c r="J304" t="str">
        <f t="shared" si="143"/>
        <v>Mar 2025-WEST-7</v>
      </c>
      <c r="K304">
        <f t="shared" si="144"/>
        <v>7</v>
      </c>
      <c r="L304">
        <f t="shared" si="145"/>
        <v>7.37</v>
      </c>
      <c r="M304">
        <f>IF(V304="","",IFERROR(VLOOKUP(TRIM($V304),KEY!$B$2:$E$58,4,FALSE),""))</f>
        <v>37</v>
      </c>
      <c r="N304">
        <f t="shared" si="146"/>
        <v>7</v>
      </c>
      <c r="O304" t="str">
        <f t="shared" si="147"/>
        <v>MB-1</v>
      </c>
      <c r="P304">
        <f t="shared" si="148"/>
        <v>1</v>
      </c>
      <c r="Q304">
        <f t="shared" si="149"/>
        <v>1.03</v>
      </c>
      <c r="R304">
        <f t="shared" si="150"/>
        <v>3</v>
      </c>
      <c r="S304">
        <f t="shared" si="151"/>
        <v>1</v>
      </c>
      <c r="T304" t="str">
        <f>IF(V304="","",IFERROR(VLOOKUP(TRIM($V304),KEY!$B$2:$E$58,2,FALSE),""))</f>
        <v>MB</v>
      </c>
      <c r="V304" s="64" t="s">
        <v>36</v>
      </c>
      <c r="W304" s="64">
        <v>42</v>
      </c>
      <c r="X304" s="64">
        <v>3</v>
      </c>
      <c r="Y304" s="64">
        <v>7.1428571428571425E-2</v>
      </c>
      <c r="Z304" s="64">
        <v>0</v>
      </c>
      <c r="AA304" s="64">
        <v>3</v>
      </c>
      <c r="AB304" s="64">
        <v>0</v>
      </c>
      <c r="AC304" s="64">
        <v>3</v>
      </c>
      <c r="AD304" s="64">
        <v>6</v>
      </c>
      <c r="AE304" s="64">
        <v>0.14285714285714285</v>
      </c>
      <c r="AF304" s="64">
        <v>0</v>
      </c>
      <c r="AG304" s="64">
        <v>0</v>
      </c>
      <c r="AH304" s="64">
        <v>36</v>
      </c>
      <c r="AI304" s="64">
        <v>0.8571428571428571</v>
      </c>
      <c r="AJ304" s="64">
        <v>0</v>
      </c>
      <c r="AK304" s="64">
        <v>0</v>
      </c>
      <c r="AL304" s="64">
        <v>0</v>
      </c>
      <c r="AM304" s="64">
        <v>0</v>
      </c>
    </row>
    <row r="305" spans="2:39" x14ac:dyDescent="0.2">
      <c r="B305" t="str">
        <f t="shared" si="136"/>
        <v>AZ-3</v>
      </c>
      <c r="C305" t="str">
        <f t="shared" si="137"/>
        <v>Nov 2024-AZ-3</v>
      </c>
      <c r="D305">
        <f t="shared" si="138"/>
        <v>3</v>
      </c>
      <c r="E305">
        <f t="shared" si="139"/>
        <v>1.1200000000000001</v>
      </c>
      <c r="F305">
        <f t="shared" si="140"/>
        <v>12</v>
      </c>
      <c r="G305">
        <f t="shared" si="141"/>
        <v>1</v>
      </c>
      <c r="H305" t="str">
        <f>IF(V305="","",IFERROR(VLOOKUP(TRIM($V305),KEY!$B$2:$E$58,3,FALSE),""))</f>
        <v>AZ</v>
      </c>
      <c r="I305" t="str">
        <f t="shared" si="142"/>
        <v>WEST-1</v>
      </c>
      <c r="J305" t="str">
        <f t="shared" si="143"/>
        <v>Mar 2025-WEST-1</v>
      </c>
      <c r="K305">
        <f t="shared" si="144"/>
        <v>1</v>
      </c>
      <c r="L305">
        <f t="shared" si="145"/>
        <v>1.38</v>
      </c>
      <c r="M305">
        <f>IF(V305="","",IFERROR(VLOOKUP(TRIM($V305),KEY!$B$2:$E$58,4,FALSE),""))</f>
        <v>38</v>
      </c>
      <c r="N305">
        <f t="shared" si="146"/>
        <v>1</v>
      </c>
      <c r="O305" t="str">
        <f t="shared" si="147"/>
        <v>MI-1</v>
      </c>
      <c r="P305">
        <f t="shared" si="148"/>
        <v>1</v>
      </c>
      <c r="Q305">
        <f t="shared" si="149"/>
        <v>1.02</v>
      </c>
      <c r="R305">
        <f t="shared" si="150"/>
        <v>2</v>
      </c>
      <c r="S305">
        <f t="shared" si="151"/>
        <v>1</v>
      </c>
      <c r="T305" t="str">
        <f>IF(V305="","",IFERROR(VLOOKUP(TRIM($V305),KEY!$B$2:$E$58,2,FALSE),""))</f>
        <v>MI</v>
      </c>
      <c r="V305" s="64" t="s">
        <v>38</v>
      </c>
      <c r="W305" s="64">
        <v>3</v>
      </c>
      <c r="X305" s="64">
        <v>1</v>
      </c>
      <c r="Y305" s="64">
        <v>0.33333333333333331</v>
      </c>
      <c r="Z305" s="64">
        <v>0</v>
      </c>
      <c r="AA305" s="64">
        <v>1</v>
      </c>
      <c r="AB305" s="64">
        <v>0</v>
      </c>
      <c r="AC305" s="64">
        <v>0</v>
      </c>
      <c r="AD305" s="64">
        <v>1</v>
      </c>
      <c r="AE305" s="64">
        <v>0.33333333333333331</v>
      </c>
      <c r="AF305" s="64">
        <v>0</v>
      </c>
      <c r="AG305" s="64">
        <v>0</v>
      </c>
      <c r="AH305" s="64">
        <v>2</v>
      </c>
      <c r="AI305" s="64">
        <v>0.66666666666666663</v>
      </c>
      <c r="AJ305" s="64">
        <v>0</v>
      </c>
      <c r="AK305" s="64">
        <v>0</v>
      </c>
      <c r="AL305" s="64">
        <v>0</v>
      </c>
      <c r="AM305" s="64">
        <v>0</v>
      </c>
    </row>
    <row r="306" spans="2:39" x14ac:dyDescent="0.2">
      <c r="B306" t="str">
        <f t="shared" si="136"/>
        <v>TX-7</v>
      </c>
      <c r="C306" t="str">
        <f t="shared" si="137"/>
        <v>Nov 2024-TX-7</v>
      </c>
      <c r="D306">
        <f t="shared" si="138"/>
        <v>7</v>
      </c>
      <c r="E306">
        <f t="shared" si="139"/>
        <v>3.07</v>
      </c>
      <c r="F306">
        <f t="shared" si="140"/>
        <v>7</v>
      </c>
      <c r="G306">
        <f t="shared" si="141"/>
        <v>3</v>
      </c>
      <c r="H306" t="str">
        <f>IF(V306="","",IFERROR(VLOOKUP(TRIM($V306),KEY!$B$2:$E$58,3,FALSE),""))</f>
        <v>TX</v>
      </c>
      <c r="I306" t="str">
        <f t="shared" si="142"/>
        <v>WEST-39</v>
      </c>
      <c r="J306" t="str">
        <f t="shared" si="143"/>
        <v>Mar 2025-WEST-39</v>
      </c>
      <c r="K306">
        <f t="shared" si="144"/>
        <v>39</v>
      </c>
      <c r="L306">
        <f t="shared" si="145"/>
        <v>13.39</v>
      </c>
      <c r="M306">
        <f>IF(V306="","",IFERROR(VLOOKUP(TRIM($V306),KEY!$B$2:$E$58,4,FALSE),""))</f>
        <v>39</v>
      </c>
      <c r="N306">
        <f t="shared" si="146"/>
        <v>13</v>
      </c>
      <c r="O306" t="str">
        <f t="shared" si="147"/>
        <v>MI-5</v>
      </c>
      <c r="P306">
        <f t="shared" si="148"/>
        <v>5</v>
      </c>
      <c r="Q306">
        <f t="shared" si="149"/>
        <v>3.03</v>
      </c>
      <c r="R306">
        <f t="shared" si="150"/>
        <v>3</v>
      </c>
      <c r="S306">
        <f t="shared" si="151"/>
        <v>3</v>
      </c>
      <c r="T306" t="str">
        <f>IF(V306="","",IFERROR(VLOOKUP(TRIM($V306),KEY!$B$2:$E$58,2,FALSE),""))</f>
        <v>MI</v>
      </c>
      <c r="V306" s="64" t="s">
        <v>39</v>
      </c>
      <c r="W306" s="64">
        <v>5</v>
      </c>
      <c r="X306" s="64">
        <v>0</v>
      </c>
      <c r="Y306" s="64">
        <v>0</v>
      </c>
      <c r="Z306" s="64">
        <v>0</v>
      </c>
      <c r="AA306" s="64">
        <v>0</v>
      </c>
      <c r="AB306" s="64">
        <v>0</v>
      </c>
      <c r="AC306" s="64">
        <v>0</v>
      </c>
      <c r="AD306" s="64">
        <v>0</v>
      </c>
      <c r="AE306" s="64">
        <v>0</v>
      </c>
      <c r="AF306" s="64">
        <v>0</v>
      </c>
      <c r="AG306" s="64">
        <v>0</v>
      </c>
      <c r="AH306" s="64">
        <v>5</v>
      </c>
      <c r="AI306" s="64">
        <v>1</v>
      </c>
      <c r="AJ306" s="64">
        <v>0</v>
      </c>
      <c r="AK306" s="64">
        <v>0</v>
      </c>
      <c r="AL306" s="64">
        <v>0</v>
      </c>
      <c r="AM306" s="64">
        <v>0</v>
      </c>
    </row>
    <row r="307" spans="2:39" x14ac:dyDescent="0.2">
      <c r="B307" t="str">
        <f t="shared" si="136"/>
        <v>NorCal-1</v>
      </c>
      <c r="C307" t="str">
        <f t="shared" si="137"/>
        <v>Nov 2024-NorCal-1</v>
      </c>
      <c r="D307">
        <f t="shared" si="138"/>
        <v>1</v>
      </c>
      <c r="E307">
        <f t="shared" si="139"/>
        <v>1.05</v>
      </c>
      <c r="F307">
        <f t="shared" si="140"/>
        <v>5</v>
      </c>
      <c r="G307">
        <f t="shared" si="141"/>
        <v>1</v>
      </c>
      <c r="H307" t="str">
        <f>IF(V307="","",IFERROR(VLOOKUP(TRIM($V307),KEY!$B$2:$E$58,3,FALSE),""))</f>
        <v>NorCal</v>
      </c>
      <c r="I307" t="str">
        <f t="shared" si="142"/>
        <v>WEST-8</v>
      </c>
      <c r="J307" t="str">
        <f t="shared" si="143"/>
        <v>Mar 2025-WEST-8</v>
      </c>
      <c r="K307">
        <f t="shared" si="144"/>
        <v>8</v>
      </c>
      <c r="L307">
        <f t="shared" si="145"/>
        <v>8.4</v>
      </c>
      <c r="M307">
        <f>IF(V307="","",IFERROR(VLOOKUP(TRIM($V307),KEY!$B$2:$E$58,4,FALSE),""))</f>
        <v>40</v>
      </c>
      <c r="N307">
        <f t="shared" si="146"/>
        <v>8</v>
      </c>
      <c r="O307" t="str">
        <f t="shared" si="147"/>
        <v>MI-3</v>
      </c>
      <c r="P307">
        <f t="shared" si="148"/>
        <v>3</v>
      </c>
      <c r="Q307">
        <f t="shared" si="149"/>
        <v>2.04</v>
      </c>
      <c r="R307">
        <f t="shared" si="150"/>
        <v>4</v>
      </c>
      <c r="S307">
        <f t="shared" si="151"/>
        <v>2</v>
      </c>
      <c r="T307" t="str">
        <f>IF(V307="","",IFERROR(VLOOKUP(TRIM($V307),KEY!$B$2:$E$58,2,FALSE),""))</f>
        <v>MI</v>
      </c>
      <c r="V307" s="64" t="s">
        <v>40</v>
      </c>
      <c r="W307" s="64">
        <v>15</v>
      </c>
      <c r="X307" s="64">
        <v>1</v>
      </c>
      <c r="Y307" s="64">
        <v>6.6666666666666666E-2</v>
      </c>
      <c r="Z307" s="64">
        <v>0</v>
      </c>
      <c r="AA307" s="64">
        <v>1</v>
      </c>
      <c r="AB307" s="64">
        <v>0</v>
      </c>
      <c r="AC307" s="64">
        <v>0</v>
      </c>
      <c r="AD307" s="64">
        <v>1</v>
      </c>
      <c r="AE307" s="64">
        <v>6.6666666666666666E-2</v>
      </c>
      <c r="AF307" s="64">
        <v>13</v>
      </c>
      <c r="AG307" s="64">
        <v>0</v>
      </c>
      <c r="AH307" s="64">
        <v>1</v>
      </c>
      <c r="AI307" s="64">
        <v>0.93333333333333335</v>
      </c>
      <c r="AJ307" s="64">
        <v>0</v>
      </c>
      <c r="AK307" s="64">
        <v>0</v>
      </c>
      <c r="AL307" s="64">
        <v>0</v>
      </c>
      <c r="AM307" s="64">
        <v>0</v>
      </c>
    </row>
    <row r="308" spans="2:39" x14ac:dyDescent="0.2">
      <c r="B308" t="str">
        <f t="shared" si="136"/>
        <v>OC-2</v>
      </c>
      <c r="C308" t="str">
        <f t="shared" si="137"/>
        <v>Nov 2024-OC-2</v>
      </c>
      <c r="D308">
        <f t="shared" si="138"/>
        <v>2</v>
      </c>
      <c r="E308">
        <f t="shared" si="139"/>
        <v>1.07</v>
      </c>
      <c r="F308">
        <f t="shared" si="140"/>
        <v>7</v>
      </c>
      <c r="G308">
        <f t="shared" si="141"/>
        <v>1</v>
      </c>
      <c r="H308" t="str">
        <f>IF(V308="","",IFERROR(VLOOKUP(TRIM($V308),KEY!$B$2:$E$58,3,FALSE),""))</f>
        <v>OC</v>
      </c>
      <c r="I308" t="str">
        <f t="shared" si="142"/>
        <v>WEST--</v>
      </c>
      <c r="J308" t="str">
        <f t="shared" si="143"/>
        <v>Mar 2025-WEST--</v>
      </c>
      <c r="K308" t="str">
        <f t="shared" si="144"/>
        <v>-</v>
      </c>
      <c r="L308" t="str">
        <f t="shared" si="145"/>
        <v>-</v>
      </c>
      <c r="M308">
        <f>IF(V308="","",IFERROR(VLOOKUP(TRIM($V308),KEY!$B$2:$E$58,4,FALSE),""))</f>
        <v>41</v>
      </c>
      <c r="N308" t="str">
        <f t="shared" si="146"/>
        <v>-</v>
      </c>
      <c r="O308" t="str">
        <f t="shared" si="147"/>
        <v>MI-2</v>
      </c>
      <c r="P308">
        <f t="shared" si="148"/>
        <v>2</v>
      </c>
      <c r="Q308">
        <f t="shared" si="149"/>
        <v>1.05</v>
      </c>
      <c r="R308">
        <f t="shared" si="150"/>
        <v>5</v>
      </c>
      <c r="S308">
        <f t="shared" si="151"/>
        <v>1</v>
      </c>
      <c r="T308" t="str">
        <f>IF(V308="","",IFERROR(VLOOKUP(TRIM($V308),KEY!$B$2:$E$58,2,FALSE),""))</f>
        <v>MI</v>
      </c>
      <c r="V308" s="64" t="s">
        <v>41</v>
      </c>
      <c r="W308" s="64">
        <v>0</v>
      </c>
      <c r="X308" s="64">
        <v>0</v>
      </c>
      <c r="Y308" s="64" t="s">
        <v>274</v>
      </c>
      <c r="Z308" s="64">
        <v>0</v>
      </c>
      <c r="AA308" s="64">
        <v>0</v>
      </c>
      <c r="AB308" s="64">
        <v>0</v>
      </c>
      <c r="AC308" s="64">
        <v>0</v>
      </c>
      <c r="AD308" s="64">
        <v>0</v>
      </c>
      <c r="AE308" s="64" t="s">
        <v>274</v>
      </c>
      <c r="AF308" s="64">
        <v>0</v>
      </c>
      <c r="AG308" s="64">
        <v>0</v>
      </c>
      <c r="AH308" s="64">
        <v>0</v>
      </c>
      <c r="AI308" s="64" t="s">
        <v>274</v>
      </c>
      <c r="AJ308" s="64">
        <v>0</v>
      </c>
      <c r="AK308" s="64">
        <v>0</v>
      </c>
      <c r="AL308" s="64">
        <v>0</v>
      </c>
      <c r="AM308" s="64" t="s">
        <v>274</v>
      </c>
    </row>
    <row r="309" spans="2:39" x14ac:dyDescent="0.2">
      <c r="B309" t="str">
        <f t="shared" si="136"/>
        <v>SoCal-11</v>
      </c>
      <c r="C309" t="str">
        <f t="shared" si="137"/>
        <v>Nov 2024-SoCal-11</v>
      </c>
      <c r="D309">
        <f t="shared" si="138"/>
        <v>11</v>
      </c>
      <c r="E309">
        <f t="shared" si="139"/>
        <v>4.1100000000000003</v>
      </c>
      <c r="F309">
        <f t="shared" si="140"/>
        <v>11</v>
      </c>
      <c r="G309">
        <f t="shared" si="141"/>
        <v>4</v>
      </c>
      <c r="H309" t="str">
        <f>IF(V309="","",IFERROR(VLOOKUP(TRIM($V309),KEY!$B$2:$E$58,3,FALSE),""))</f>
        <v>SoCal</v>
      </c>
      <c r="I309" t="str">
        <f t="shared" si="142"/>
        <v>WEST-40</v>
      </c>
      <c r="J309" t="str">
        <f t="shared" si="143"/>
        <v>Mar 2025-WEST-40</v>
      </c>
      <c r="K309">
        <f t="shared" si="144"/>
        <v>40</v>
      </c>
      <c r="L309">
        <f t="shared" si="145"/>
        <v>13.42</v>
      </c>
      <c r="M309">
        <f>IF(V309="","",IFERROR(VLOOKUP(TRIM($V309),KEY!$B$2:$E$58,4,FALSE),""))</f>
        <v>42</v>
      </c>
      <c r="N309">
        <f t="shared" si="146"/>
        <v>13</v>
      </c>
      <c r="O309" t="str">
        <f t="shared" si="147"/>
        <v>MI-6</v>
      </c>
      <c r="P309">
        <f t="shared" si="148"/>
        <v>6</v>
      </c>
      <c r="Q309">
        <f t="shared" si="149"/>
        <v>3.06</v>
      </c>
      <c r="R309">
        <f t="shared" si="150"/>
        <v>6</v>
      </c>
      <c r="S309">
        <f t="shared" si="151"/>
        <v>3</v>
      </c>
      <c r="T309" t="str">
        <f>IF(V309="","",IFERROR(VLOOKUP(TRIM($V309),KEY!$B$2:$E$58,2,FALSE),""))</f>
        <v>MI</v>
      </c>
      <c r="V309" s="64" t="s">
        <v>42</v>
      </c>
      <c r="W309" s="64">
        <v>5</v>
      </c>
      <c r="X309" s="64">
        <v>0</v>
      </c>
      <c r="Y309" s="64">
        <v>0</v>
      </c>
      <c r="Z309" s="64">
        <v>0</v>
      </c>
      <c r="AA309" s="64">
        <v>0</v>
      </c>
      <c r="AB309" s="64">
        <v>0</v>
      </c>
      <c r="AC309" s="64">
        <v>0</v>
      </c>
      <c r="AD309" s="64">
        <v>0</v>
      </c>
      <c r="AE309" s="64">
        <v>0</v>
      </c>
      <c r="AF309" s="64">
        <v>5</v>
      </c>
      <c r="AG309" s="64">
        <v>0</v>
      </c>
      <c r="AH309" s="64">
        <v>0</v>
      </c>
      <c r="AI309" s="64">
        <v>1</v>
      </c>
      <c r="AJ309" s="64">
        <v>0</v>
      </c>
      <c r="AK309" s="64">
        <v>0</v>
      </c>
      <c r="AL309" s="64">
        <v>0</v>
      </c>
      <c r="AM309" s="64">
        <v>0</v>
      </c>
    </row>
    <row r="310" spans="2:39" x14ac:dyDescent="0.2">
      <c r="B310" t="str">
        <f t="shared" si="136"/>
        <v>AZ-14</v>
      </c>
      <c r="C310" t="str">
        <f t="shared" si="137"/>
        <v>Nov 2024-AZ-14</v>
      </c>
      <c r="D310">
        <f t="shared" si="138"/>
        <v>14</v>
      </c>
      <c r="E310">
        <f t="shared" si="139"/>
        <v>4.13</v>
      </c>
      <c r="F310">
        <f t="shared" si="140"/>
        <v>13</v>
      </c>
      <c r="G310">
        <f t="shared" si="141"/>
        <v>4</v>
      </c>
      <c r="H310" t="str">
        <f>IF(V310="","",IFERROR(VLOOKUP(TRIM($V310),KEY!$B$2:$E$58,3,FALSE),""))</f>
        <v>AZ</v>
      </c>
      <c r="I310" t="str">
        <f t="shared" si="142"/>
        <v>WEST-41</v>
      </c>
      <c r="J310" t="str">
        <f t="shared" si="143"/>
        <v>Mar 2025-WEST-41</v>
      </c>
      <c r="K310">
        <f t="shared" si="144"/>
        <v>41</v>
      </c>
      <c r="L310">
        <f t="shared" si="145"/>
        <v>13.43</v>
      </c>
      <c r="M310">
        <f>IF(V310="","",IFERROR(VLOOKUP(TRIM($V310),KEY!$B$2:$E$58,4,FALSE),""))</f>
        <v>43</v>
      </c>
      <c r="N310">
        <f t="shared" si="146"/>
        <v>13</v>
      </c>
      <c r="O310" t="str">
        <f t="shared" si="147"/>
        <v>MI-7</v>
      </c>
      <c r="P310">
        <f t="shared" si="148"/>
        <v>7</v>
      </c>
      <c r="Q310">
        <f t="shared" si="149"/>
        <v>3.07</v>
      </c>
      <c r="R310">
        <f t="shared" si="150"/>
        <v>7</v>
      </c>
      <c r="S310">
        <f t="shared" si="151"/>
        <v>3</v>
      </c>
      <c r="T310" t="str">
        <f>IF(V310="","",IFERROR(VLOOKUP(TRIM($V310),KEY!$B$2:$E$58,2,FALSE),""))</f>
        <v>MI</v>
      </c>
      <c r="V310" s="64" t="s">
        <v>43</v>
      </c>
      <c r="W310" s="64">
        <v>2</v>
      </c>
      <c r="X310" s="64">
        <v>0</v>
      </c>
      <c r="Y310" s="64">
        <v>0</v>
      </c>
      <c r="Z310" s="64">
        <v>0</v>
      </c>
      <c r="AA310" s="64">
        <v>0</v>
      </c>
      <c r="AB310" s="64">
        <v>0</v>
      </c>
      <c r="AC310" s="64">
        <v>1</v>
      </c>
      <c r="AD310" s="64">
        <v>1</v>
      </c>
      <c r="AE310" s="64">
        <v>0.5</v>
      </c>
      <c r="AF310" s="64">
        <v>0</v>
      </c>
      <c r="AG310" s="64">
        <v>0</v>
      </c>
      <c r="AH310" s="64">
        <v>1</v>
      </c>
      <c r="AI310" s="64">
        <v>0.5</v>
      </c>
      <c r="AJ310" s="64">
        <v>0</v>
      </c>
      <c r="AK310" s="64">
        <v>0</v>
      </c>
      <c r="AL310" s="64">
        <v>0</v>
      </c>
      <c r="AM310" s="64">
        <v>0</v>
      </c>
    </row>
    <row r="311" spans="2:39" x14ac:dyDescent="0.2">
      <c r="B311" t="str">
        <f t="shared" si="136"/>
        <v>NorCal-6</v>
      </c>
      <c r="C311" t="str">
        <f t="shared" si="137"/>
        <v>Nov 2024-NorCal-6</v>
      </c>
      <c r="D311">
        <f t="shared" si="138"/>
        <v>6</v>
      </c>
      <c r="E311">
        <f t="shared" si="139"/>
        <v>3.06</v>
      </c>
      <c r="F311">
        <f t="shared" si="140"/>
        <v>6</v>
      </c>
      <c r="G311">
        <f t="shared" si="141"/>
        <v>3</v>
      </c>
      <c r="H311" t="str">
        <f>IF(V311="","",IFERROR(VLOOKUP(TRIM($V311),KEY!$B$2:$E$58,3,FALSE),""))</f>
        <v>NorCal</v>
      </c>
      <c r="I311" t="str">
        <f t="shared" si="142"/>
        <v>WEST-42</v>
      </c>
      <c r="J311" t="str">
        <f t="shared" si="143"/>
        <v>Mar 2025-WEST-42</v>
      </c>
      <c r="K311">
        <f t="shared" si="144"/>
        <v>42</v>
      </c>
      <c r="L311">
        <f t="shared" si="145"/>
        <v>13.44</v>
      </c>
      <c r="M311">
        <f>IF(V311="","",IFERROR(VLOOKUP(TRIM($V311),KEY!$B$2:$E$58,4,FALSE),""))</f>
        <v>44</v>
      </c>
      <c r="N311">
        <f t="shared" si="146"/>
        <v>13</v>
      </c>
      <c r="O311" t="str">
        <f t="shared" si="147"/>
        <v>BM-7</v>
      </c>
      <c r="P311">
        <f t="shared" si="148"/>
        <v>7</v>
      </c>
      <c r="Q311">
        <f t="shared" si="149"/>
        <v>4.07</v>
      </c>
      <c r="R311">
        <f t="shared" si="150"/>
        <v>7</v>
      </c>
      <c r="S311">
        <f t="shared" si="151"/>
        <v>4</v>
      </c>
      <c r="T311" t="str">
        <f>IF(V311="","",IFERROR(VLOOKUP(TRIM($V311),KEY!$B$2:$E$58,2,FALSE),""))</f>
        <v>BM</v>
      </c>
      <c r="V311" s="64" t="s">
        <v>21</v>
      </c>
      <c r="W311" s="64">
        <v>68</v>
      </c>
      <c r="X311" s="64">
        <v>0</v>
      </c>
      <c r="Y311" s="64">
        <v>0</v>
      </c>
      <c r="Z311" s="64">
        <v>0</v>
      </c>
      <c r="AA311" s="64">
        <v>0</v>
      </c>
      <c r="AB311" s="64">
        <v>0</v>
      </c>
      <c r="AC311" s="64">
        <v>0</v>
      </c>
      <c r="AD311" s="64">
        <v>0</v>
      </c>
      <c r="AE311" s="64">
        <v>0</v>
      </c>
      <c r="AF311" s="64">
        <v>0</v>
      </c>
      <c r="AG311" s="64">
        <v>0</v>
      </c>
      <c r="AH311" s="64">
        <v>68</v>
      </c>
      <c r="AI311" s="64">
        <v>1</v>
      </c>
      <c r="AJ311" s="64">
        <v>0</v>
      </c>
      <c r="AK311" s="64">
        <v>0</v>
      </c>
      <c r="AL311" s="64">
        <v>0</v>
      </c>
      <c r="AM311" s="64">
        <v>0</v>
      </c>
    </row>
    <row r="312" spans="2:39" x14ac:dyDescent="0.2">
      <c r="B312" t="str">
        <f t="shared" si="136"/>
        <v>AZ-15</v>
      </c>
      <c r="C312" t="str">
        <f t="shared" si="137"/>
        <v>Nov 2024-AZ-15</v>
      </c>
      <c r="D312">
        <f t="shared" si="138"/>
        <v>15</v>
      </c>
      <c r="E312">
        <f t="shared" si="139"/>
        <v>4.1399999999999997</v>
      </c>
      <c r="F312">
        <f t="shared" si="140"/>
        <v>14</v>
      </c>
      <c r="G312">
        <f t="shared" si="141"/>
        <v>4</v>
      </c>
      <c r="H312" t="str">
        <f>IF(V312="","",IFERROR(VLOOKUP(TRIM($V312),KEY!$B$2:$E$58,3,FALSE),""))</f>
        <v>AZ</v>
      </c>
      <c r="I312" t="str">
        <f t="shared" si="142"/>
        <v>WEST-43</v>
      </c>
      <c r="J312" t="str">
        <f t="shared" si="143"/>
        <v>Mar 2025-WEST-43</v>
      </c>
      <c r="K312">
        <f t="shared" si="144"/>
        <v>43</v>
      </c>
      <c r="L312">
        <f t="shared" si="145"/>
        <v>13.45</v>
      </c>
      <c r="M312">
        <f>IF(V312="","",IFERROR(VLOOKUP(TRIM($V312),KEY!$B$2:$E$58,4,FALSE),""))</f>
        <v>45</v>
      </c>
      <c r="N312">
        <f t="shared" si="146"/>
        <v>13</v>
      </c>
      <c r="O312" t="str">
        <f t="shared" si="147"/>
        <v>PO-1</v>
      </c>
      <c r="P312">
        <f t="shared" si="148"/>
        <v>1</v>
      </c>
      <c r="Q312">
        <f t="shared" si="149"/>
        <v>1.01</v>
      </c>
      <c r="R312">
        <f t="shared" si="150"/>
        <v>1</v>
      </c>
      <c r="S312">
        <f t="shared" si="151"/>
        <v>1</v>
      </c>
      <c r="T312" t="str">
        <f>IF(V312="","",IFERROR(VLOOKUP(TRIM($V312),KEY!$B$2:$E$58,2,FALSE),""))</f>
        <v>PO</v>
      </c>
      <c r="V312" s="64" t="s">
        <v>44</v>
      </c>
      <c r="W312" s="64">
        <v>3</v>
      </c>
      <c r="X312" s="64">
        <v>0</v>
      </c>
      <c r="Y312" s="64">
        <v>0</v>
      </c>
      <c r="Z312" s="64">
        <v>0</v>
      </c>
      <c r="AA312" s="64">
        <v>0</v>
      </c>
      <c r="AB312" s="64">
        <v>0</v>
      </c>
      <c r="AC312" s="64">
        <v>0</v>
      </c>
      <c r="AD312" s="64">
        <v>0</v>
      </c>
      <c r="AE312" s="64">
        <v>0</v>
      </c>
      <c r="AF312" s="64">
        <v>0</v>
      </c>
      <c r="AG312" s="64">
        <v>0</v>
      </c>
      <c r="AH312" s="64">
        <v>3</v>
      </c>
      <c r="AI312" s="64">
        <v>1</v>
      </c>
      <c r="AJ312" s="64">
        <v>0</v>
      </c>
      <c r="AK312" s="64">
        <v>0</v>
      </c>
      <c r="AL312" s="64">
        <v>0</v>
      </c>
      <c r="AM312" s="64">
        <v>0</v>
      </c>
    </row>
    <row r="313" spans="2:39" x14ac:dyDescent="0.2">
      <c r="B313" t="str">
        <f t="shared" si="136"/>
        <v>NorCal-7</v>
      </c>
      <c r="C313" t="str">
        <f t="shared" si="137"/>
        <v>Nov 2024-NorCal-7</v>
      </c>
      <c r="D313">
        <f t="shared" si="138"/>
        <v>7</v>
      </c>
      <c r="E313">
        <f t="shared" si="139"/>
        <v>3.07</v>
      </c>
      <c r="F313">
        <f t="shared" si="140"/>
        <v>7</v>
      </c>
      <c r="G313">
        <f t="shared" si="141"/>
        <v>3</v>
      </c>
      <c r="H313" t="str">
        <f>IF(V313="","",IFERROR(VLOOKUP(TRIM($V313),KEY!$B$2:$E$58,3,FALSE),""))</f>
        <v>NorCal</v>
      </c>
      <c r="I313" t="str">
        <f t="shared" si="142"/>
        <v>WEST-44</v>
      </c>
      <c r="J313" t="str">
        <f t="shared" si="143"/>
        <v>Mar 2025-WEST-44</v>
      </c>
      <c r="K313">
        <f t="shared" si="144"/>
        <v>44</v>
      </c>
      <c r="L313">
        <f t="shared" si="145"/>
        <v>13.46</v>
      </c>
      <c r="M313">
        <f>IF(V313="","",IFERROR(VLOOKUP(TRIM($V313),KEY!$B$2:$E$58,4,FALSE),""))</f>
        <v>46</v>
      </c>
      <c r="N313">
        <f t="shared" si="146"/>
        <v>13</v>
      </c>
      <c r="O313" t="str">
        <f t="shared" si="147"/>
        <v>PO-2</v>
      </c>
      <c r="P313">
        <f t="shared" si="148"/>
        <v>2</v>
      </c>
      <c r="Q313">
        <f t="shared" si="149"/>
        <v>1.02</v>
      </c>
      <c r="R313">
        <f t="shared" si="150"/>
        <v>2</v>
      </c>
      <c r="S313">
        <f t="shared" si="151"/>
        <v>1</v>
      </c>
      <c r="T313" t="str">
        <f>IF(V313="","",IFERROR(VLOOKUP(TRIM($V313),KEY!$B$2:$E$58,2,FALSE),""))</f>
        <v>PO</v>
      </c>
      <c r="V313" s="64" t="s">
        <v>45</v>
      </c>
      <c r="W313" s="64">
        <v>12</v>
      </c>
      <c r="X313" s="64">
        <v>0</v>
      </c>
      <c r="Y313" s="64">
        <v>0</v>
      </c>
      <c r="Z313" s="64">
        <v>0</v>
      </c>
      <c r="AA313" s="64">
        <v>0</v>
      </c>
      <c r="AB313" s="64">
        <v>0</v>
      </c>
      <c r="AC313" s="64">
        <v>0</v>
      </c>
      <c r="AD313" s="64">
        <v>0</v>
      </c>
      <c r="AE313" s="64">
        <v>0</v>
      </c>
      <c r="AF313" s="64">
        <v>0</v>
      </c>
      <c r="AG313" s="64">
        <v>0</v>
      </c>
      <c r="AH313" s="64">
        <v>12</v>
      </c>
      <c r="AI313" s="64">
        <v>1</v>
      </c>
      <c r="AJ313" s="64">
        <v>0</v>
      </c>
      <c r="AK313" s="64">
        <v>0</v>
      </c>
      <c r="AL313" s="64">
        <v>0</v>
      </c>
      <c r="AM313" s="64">
        <v>0</v>
      </c>
    </row>
    <row r="314" spans="2:39" x14ac:dyDescent="0.2">
      <c r="B314" t="str">
        <f t="shared" si="136"/>
        <v>TX-8</v>
      </c>
      <c r="C314" t="str">
        <f t="shared" si="137"/>
        <v>Nov 2024-TX-8</v>
      </c>
      <c r="D314">
        <f t="shared" si="138"/>
        <v>8</v>
      </c>
      <c r="E314">
        <f t="shared" si="139"/>
        <v>3.08</v>
      </c>
      <c r="F314">
        <f t="shared" si="140"/>
        <v>8</v>
      </c>
      <c r="G314">
        <f t="shared" si="141"/>
        <v>3</v>
      </c>
      <c r="H314" t="str">
        <f>IF(V314="","",IFERROR(VLOOKUP(TRIM($V314),KEY!$B$2:$E$58,3,FALSE),""))</f>
        <v>TX</v>
      </c>
      <c r="I314" t="str">
        <f t="shared" si="142"/>
        <v>WEST-45</v>
      </c>
      <c r="J314" t="str">
        <f t="shared" si="143"/>
        <v>Mar 2025-WEST-45</v>
      </c>
      <c r="K314">
        <f t="shared" si="144"/>
        <v>45</v>
      </c>
      <c r="L314">
        <f t="shared" si="145"/>
        <v>13.47</v>
      </c>
      <c r="M314">
        <f>IF(V314="","",IFERROR(VLOOKUP(TRIM($V314),KEY!$B$2:$E$58,4,FALSE),""))</f>
        <v>47</v>
      </c>
      <c r="N314">
        <f t="shared" si="146"/>
        <v>13</v>
      </c>
      <c r="O314" t="str">
        <f t="shared" si="147"/>
        <v>HO-5</v>
      </c>
      <c r="P314">
        <f t="shared" si="148"/>
        <v>5</v>
      </c>
      <c r="Q314">
        <f t="shared" si="149"/>
        <v>3.05</v>
      </c>
      <c r="R314">
        <f t="shared" si="150"/>
        <v>5</v>
      </c>
      <c r="S314">
        <f t="shared" si="151"/>
        <v>3</v>
      </c>
      <c r="T314" t="str">
        <f>IF(V314="","",IFERROR(VLOOKUP(TRIM($V314),KEY!$B$2:$E$58,2,FALSE),""))</f>
        <v>HO</v>
      </c>
      <c r="V314" s="64" t="s">
        <v>25</v>
      </c>
      <c r="W314" s="64">
        <v>22</v>
      </c>
      <c r="X314" s="64">
        <v>0</v>
      </c>
      <c r="Y314" s="64">
        <v>0</v>
      </c>
      <c r="Z314" s="64">
        <v>0</v>
      </c>
      <c r="AA314" s="64">
        <v>0</v>
      </c>
      <c r="AB314" s="64">
        <v>0</v>
      </c>
      <c r="AC314" s="64">
        <v>0</v>
      </c>
      <c r="AD314" s="64">
        <v>0</v>
      </c>
      <c r="AE314" s="64">
        <v>0</v>
      </c>
      <c r="AF314" s="64">
        <v>0</v>
      </c>
      <c r="AG314" s="64">
        <v>0</v>
      </c>
      <c r="AH314" s="64">
        <v>22</v>
      </c>
      <c r="AI314" s="64">
        <v>1</v>
      </c>
      <c r="AJ314" s="64">
        <v>0</v>
      </c>
      <c r="AK314" s="64">
        <v>0</v>
      </c>
      <c r="AL314" s="64">
        <v>0</v>
      </c>
      <c r="AM314" s="64">
        <v>0</v>
      </c>
    </row>
    <row r="315" spans="2:39" x14ac:dyDescent="0.2">
      <c r="B315" t="str">
        <f t="shared" si="136"/>
        <v>TX-9</v>
      </c>
      <c r="C315" t="str">
        <f t="shared" si="137"/>
        <v>Nov 2024-TX-9</v>
      </c>
      <c r="D315">
        <f t="shared" si="138"/>
        <v>9</v>
      </c>
      <c r="E315">
        <f t="shared" si="139"/>
        <v>3.09</v>
      </c>
      <c r="F315">
        <f t="shared" si="140"/>
        <v>9</v>
      </c>
      <c r="G315">
        <f t="shared" si="141"/>
        <v>3</v>
      </c>
      <c r="H315" t="str">
        <f>IF(V315="","",IFERROR(VLOOKUP(TRIM($V315),KEY!$B$2:$E$58,3,FALSE),""))</f>
        <v>TX</v>
      </c>
      <c r="I315" t="str">
        <f t="shared" si="142"/>
        <v>WEST-46</v>
      </c>
      <c r="J315" t="str">
        <f t="shared" si="143"/>
        <v>Mar 2025-WEST-46</v>
      </c>
      <c r="K315">
        <f t="shared" si="144"/>
        <v>46</v>
      </c>
      <c r="L315">
        <f t="shared" si="145"/>
        <v>13.48</v>
      </c>
      <c r="M315">
        <f>IF(V315="","",IFERROR(VLOOKUP(TRIM($V315),KEY!$B$2:$E$58,4,FALSE),""))</f>
        <v>48</v>
      </c>
      <c r="N315">
        <f t="shared" si="146"/>
        <v>13</v>
      </c>
      <c r="O315" t="str">
        <f t="shared" si="147"/>
        <v>HY-2</v>
      </c>
      <c r="P315">
        <f t="shared" si="148"/>
        <v>2</v>
      </c>
      <c r="Q315">
        <f t="shared" si="149"/>
        <v>1.02</v>
      </c>
      <c r="R315">
        <f t="shared" si="150"/>
        <v>2</v>
      </c>
      <c r="S315">
        <f t="shared" si="151"/>
        <v>1</v>
      </c>
      <c r="T315" t="str">
        <f>IF(V315="","",IFERROR(VLOOKUP(TRIM($V315),KEY!$B$2:$E$58,2,FALSE),""))</f>
        <v>HY</v>
      </c>
      <c r="V315" s="64" t="s">
        <v>28</v>
      </c>
      <c r="W315" s="64">
        <v>6</v>
      </c>
      <c r="X315" s="64">
        <v>0</v>
      </c>
      <c r="Y315" s="64">
        <v>0</v>
      </c>
      <c r="Z315" s="64">
        <v>0</v>
      </c>
      <c r="AA315" s="64">
        <v>0</v>
      </c>
      <c r="AB315" s="64">
        <v>0</v>
      </c>
      <c r="AC315" s="64">
        <v>0</v>
      </c>
      <c r="AD315" s="64">
        <v>0</v>
      </c>
      <c r="AE315" s="64">
        <v>0</v>
      </c>
      <c r="AF315" s="64">
        <v>0</v>
      </c>
      <c r="AG315" s="64">
        <v>0</v>
      </c>
      <c r="AH315" s="64">
        <v>6</v>
      </c>
      <c r="AI315" s="64">
        <v>1</v>
      </c>
      <c r="AJ315" s="64">
        <v>0</v>
      </c>
      <c r="AK315" s="64">
        <v>0</v>
      </c>
      <c r="AL315" s="64">
        <v>0</v>
      </c>
      <c r="AM315" s="64">
        <v>0</v>
      </c>
    </row>
    <row r="316" spans="2:39" x14ac:dyDescent="0.2">
      <c r="B316" t="str">
        <f t="shared" si="136"/>
        <v>TX-10</v>
      </c>
      <c r="C316" t="str">
        <f t="shared" si="137"/>
        <v>Nov 2024-TX-10</v>
      </c>
      <c r="D316">
        <f t="shared" si="138"/>
        <v>10</v>
      </c>
      <c r="E316">
        <f t="shared" si="139"/>
        <v>3.1</v>
      </c>
      <c r="F316">
        <f t="shared" si="140"/>
        <v>10</v>
      </c>
      <c r="G316">
        <f t="shared" si="141"/>
        <v>3</v>
      </c>
      <c r="H316" t="str">
        <f>IF(V316="","",IFERROR(VLOOKUP(TRIM($V316),KEY!$B$2:$E$58,3,FALSE),""))</f>
        <v>TX</v>
      </c>
      <c r="I316" t="str">
        <f t="shared" si="142"/>
        <v>WEST-47</v>
      </c>
      <c r="J316" t="str">
        <f t="shared" si="143"/>
        <v>Mar 2025-WEST-47</v>
      </c>
      <c r="K316">
        <f t="shared" si="144"/>
        <v>47</v>
      </c>
      <c r="L316">
        <f t="shared" si="145"/>
        <v>13.49</v>
      </c>
      <c r="M316">
        <f>IF(V316="","",IFERROR(VLOOKUP(TRIM($V316),KEY!$B$2:$E$58,4,FALSE),""))</f>
        <v>49</v>
      </c>
      <c r="N316">
        <f t="shared" si="146"/>
        <v>13</v>
      </c>
      <c r="O316" t="str">
        <f t="shared" si="147"/>
        <v>TO-2</v>
      </c>
      <c r="P316">
        <f t="shared" si="148"/>
        <v>2</v>
      </c>
      <c r="Q316">
        <f t="shared" si="149"/>
        <v>1.02</v>
      </c>
      <c r="R316">
        <f t="shared" si="150"/>
        <v>2</v>
      </c>
      <c r="S316">
        <f t="shared" si="151"/>
        <v>1</v>
      </c>
      <c r="T316" t="str">
        <f>IF(V316="","",IFERROR(VLOOKUP(TRIM($V316),KEY!$B$2:$E$58,2,FALSE),""))</f>
        <v>TO</v>
      </c>
      <c r="V316" s="64" t="s">
        <v>48</v>
      </c>
      <c r="W316" s="64">
        <v>9</v>
      </c>
      <c r="X316" s="64">
        <v>0</v>
      </c>
      <c r="Y316" s="64">
        <v>0</v>
      </c>
      <c r="Z316" s="64">
        <v>0</v>
      </c>
      <c r="AA316" s="64">
        <v>0</v>
      </c>
      <c r="AB316" s="64">
        <v>0</v>
      </c>
      <c r="AC316" s="64">
        <v>1</v>
      </c>
      <c r="AD316" s="64">
        <v>1</v>
      </c>
      <c r="AE316" s="64">
        <v>0.1111111111111111</v>
      </c>
      <c r="AF316" s="64">
        <v>0</v>
      </c>
      <c r="AG316" s="64">
        <v>0</v>
      </c>
      <c r="AH316" s="64">
        <v>8</v>
      </c>
      <c r="AI316" s="64">
        <v>0.88888888888888884</v>
      </c>
      <c r="AJ316" s="64">
        <v>0</v>
      </c>
      <c r="AK316" s="64">
        <v>0</v>
      </c>
      <c r="AL316" s="64">
        <v>0</v>
      </c>
      <c r="AM316" s="64">
        <v>0</v>
      </c>
    </row>
    <row r="317" spans="2:39" x14ac:dyDescent="0.2">
      <c r="B317" t="str">
        <f t="shared" si="136"/>
        <v>AZ-16</v>
      </c>
      <c r="C317" t="str">
        <f t="shared" si="137"/>
        <v>Nov 2024-AZ-16</v>
      </c>
      <c r="D317">
        <f t="shared" si="138"/>
        <v>16</v>
      </c>
      <c r="E317">
        <f t="shared" si="139"/>
        <v>4.1500000000000004</v>
      </c>
      <c r="F317">
        <f t="shared" si="140"/>
        <v>15</v>
      </c>
      <c r="G317">
        <f t="shared" si="141"/>
        <v>4</v>
      </c>
      <c r="H317" t="str">
        <f>IF(V317="","",IFERROR(VLOOKUP(TRIM($V317),KEY!$B$2:$E$58,3,FALSE),""))</f>
        <v>AZ</v>
      </c>
      <c r="I317" t="str">
        <f t="shared" si="142"/>
        <v>WEST-48</v>
      </c>
      <c r="J317" t="str">
        <f t="shared" si="143"/>
        <v>Mar 2025-WEST-48</v>
      </c>
      <c r="K317">
        <f t="shared" si="144"/>
        <v>48</v>
      </c>
      <c r="L317">
        <f t="shared" si="145"/>
        <v>13.5</v>
      </c>
      <c r="M317">
        <f>IF(V317="","",IFERROR(VLOOKUP(TRIM($V317),KEY!$B$2:$E$58,4,FALSE),""))</f>
        <v>50</v>
      </c>
      <c r="N317">
        <f t="shared" si="146"/>
        <v>13</v>
      </c>
      <c r="O317" t="str">
        <f t="shared" si="147"/>
        <v>FE-1</v>
      </c>
      <c r="P317">
        <f t="shared" si="148"/>
        <v>1</v>
      </c>
      <c r="Q317">
        <f t="shared" si="149"/>
        <v>1.01</v>
      </c>
      <c r="R317">
        <f t="shared" si="150"/>
        <v>1</v>
      </c>
      <c r="S317">
        <f t="shared" si="151"/>
        <v>1</v>
      </c>
      <c r="T317" t="str">
        <f>IF(V317="","",IFERROR(VLOOKUP(TRIM($V317),KEY!$B$2:$E$58,2,FALSE),""))</f>
        <v>FE</v>
      </c>
      <c r="V317" s="64" t="s">
        <v>46</v>
      </c>
      <c r="W317" s="64">
        <v>2</v>
      </c>
      <c r="X317" s="64">
        <v>0</v>
      </c>
      <c r="Y317" s="64">
        <v>0</v>
      </c>
      <c r="Z317" s="64">
        <v>0</v>
      </c>
      <c r="AA317" s="64">
        <v>0</v>
      </c>
      <c r="AB317" s="64">
        <v>0</v>
      </c>
      <c r="AC317" s="64">
        <v>0</v>
      </c>
      <c r="AD317" s="64">
        <v>0</v>
      </c>
      <c r="AE317" s="64">
        <v>0</v>
      </c>
      <c r="AF317" s="64">
        <v>0</v>
      </c>
      <c r="AG317" s="64">
        <v>0</v>
      </c>
      <c r="AH317" s="64">
        <v>2</v>
      </c>
      <c r="AI317" s="64">
        <v>1</v>
      </c>
      <c r="AJ317" s="64">
        <v>0</v>
      </c>
      <c r="AK317" s="64">
        <v>0</v>
      </c>
      <c r="AL317" s="64">
        <v>0</v>
      </c>
      <c r="AM317" s="64">
        <v>0</v>
      </c>
    </row>
    <row r="318" spans="2:39" x14ac:dyDescent="0.2">
      <c r="B318" t="str">
        <f t="shared" si="136"/>
        <v>OC-8</v>
      </c>
      <c r="C318" t="str">
        <f t="shared" si="137"/>
        <v>Nov 2024-OC-8</v>
      </c>
      <c r="D318">
        <f t="shared" si="138"/>
        <v>8</v>
      </c>
      <c r="E318">
        <f t="shared" si="139"/>
        <v>3.08</v>
      </c>
      <c r="F318">
        <f t="shared" si="140"/>
        <v>8</v>
      </c>
      <c r="G318">
        <f t="shared" si="141"/>
        <v>3</v>
      </c>
      <c r="H318" t="str">
        <f>IF(V318="","",IFERROR(VLOOKUP(TRIM($V318),KEY!$B$2:$E$58,3,FALSE),""))</f>
        <v>OC</v>
      </c>
      <c r="I318" t="str">
        <f t="shared" si="142"/>
        <v>WEST-49</v>
      </c>
      <c r="J318" t="str">
        <f t="shared" si="143"/>
        <v>Mar 2025-WEST-49</v>
      </c>
      <c r="K318">
        <f t="shared" si="144"/>
        <v>49</v>
      </c>
      <c r="L318">
        <f t="shared" si="145"/>
        <v>13.51</v>
      </c>
      <c r="M318">
        <f>IF(V318="","",IFERROR(VLOOKUP(TRIM($V318),KEY!$B$2:$E$58,4,FALSE),""))</f>
        <v>51</v>
      </c>
      <c r="N318">
        <f t="shared" si="146"/>
        <v>13</v>
      </c>
      <c r="O318" t="str">
        <f t="shared" si="147"/>
        <v>SU-1</v>
      </c>
      <c r="P318">
        <f t="shared" si="148"/>
        <v>1</v>
      </c>
      <c r="Q318">
        <f t="shared" si="149"/>
        <v>1.01</v>
      </c>
      <c r="R318">
        <f t="shared" si="150"/>
        <v>1</v>
      </c>
      <c r="S318">
        <f t="shared" si="151"/>
        <v>1</v>
      </c>
      <c r="T318" t="str">
        <f>IF(V318="","",IFERROR(VLOOKUP(TRIM($V318),KEY!$B$2:$E$58,2,FALSE),""))</f>
        <v>SU</v>
      </c>
      <c r="V318" s="64" t="s">
        <v>47</v>
      </c>
      <c r="W318" s="64">
        <v>10</v>
      </c>
      <c r="X318" s="64">
        <v>0</v>
      </c>
      <c r="Y318" s="64">
        <v>0</v>
      </c>
      <c r="Z318" s="64">
        <v>0</v>
      </c>
      <c r="AA318" s="64">
        <v>0</v>
      </c>
      <c r="AB318" s="64">
        <v>0</v>
      </c>
      <c r="AC318" s="64">
        <v>0</v>
      </c>
      <c r="AD318" s="64">
        <v>0</v>
      </c>
      <c r="AE318" s="64">
        <v>0</v>
      </c>
      <c r="AF318" s="64">
        <v>0</v>
      </c>
      <c r="AG318" s="64">
        <v>0</v>
      </c>
      <c r="AH318" s="64">
        <v>10</v>
      </c>
      <c r="AI318" s="64">
        <v>1</v>
      </c>
      <c r="AJ318" s="64">
        <v>0</v>
      </c>
      <c r="AK318" s="64">
        <v>0</v>
      </c>
      <c r="AL318" s="64">
        <v>0</v>
      </c>
      <c r="AM318" s="64">
        <v>0</v>
      </c>
    </row>
    <row r="319" spans="2:39" x14ac:dyDescent="0.2">
      <c r="B319" t="str">
        <f t="shared" si="136"/>
        <v>AZ-17</v>
      </c>
      <c r="C319" t="str">
        <f t="shared" si="137"/>
        <v>Nov 2024-AZ-17</v>
      </c>
      <c r="D319">
        <f t="shared" si="138"/>
        <v>17</v>
      </c>
      <c r="E319">
        <f t="shared" si="139"/>
        <v>4.16</v>
      </c>
      <c r="F319">
        <f t="shared" si="140"/>
        <v>16</v>
      </c>
      <c r="G319">
        <f t="shared" si="141"/>
        <v>4</v>
      </c>
      <c r="H319" t="str">
        <f>IF(V319="","",IFERROR(VLOOKUP(TRIM($V319),KEY!$B$2:$E$58,3,FALSE),""))</f>
        <v>AZ</v>
      </c>
      <c r="I319" t="str">
        <f t="shared" si="142"/>
        <v>WEST-50</v>
      </c>
      <c r="J319" t="str">
        <f t="shared" si="143"/>
        <v>Mar 2025-WEST-50</v>
      </c>
      <c r="K319">
        <f t="shared" si="144"/>
        <v>50</v>
      </c>
      <c r="L319">
        <f t="shared" si="145"/>
        <v>13.52</v>
      </c>
      <c r="M319">
        <f>IF(V319="","",IFERROR(VLOOKUP(TRIM($V319),KEY!$B$2:$E$58,4,FALSE),""))</f>
        <v>52</v>
      </c>
      <c r="N319">
        <f t="shared" si="146"/>
        <v>13</v>
      </c>
      <c r="O319" t="str">
        <f t="shared" si="147"/>
        <v>HO-6</v>
      </c>
      <c r="P319">
        <f t="shared" si="148"/>
        <v>6</v>
      </c>
      <c r="Q319">
        <f t="shared" si="149"/>
        <v>3.06</v>
      </c>
      <c r="R319">
        <f t="shared" si="150"/>
        <v>6</v>
      </c>
      <c r="S319">
        <f t="shared" si="151"/>
        <v>3</v>
      </c>
      <c r="T319" t="str">
        <f>IF(V319="","",IFERROR(VLOOKUP(TRIM($V319),KEY!$B$2:$E$58,2,FALSE),""))</f>
        <v>HO</v>
      </c>
      <c r="V319" s="64" t="s">
        <v>26</v>
      </c>
      <c r="W319" s="64">
        <v>23</v>
      </c>
      <c r="X319" s="64">
        <v>0</v>
      </c>
      <c r="Y319" s="64">
        <v>0</v>
      </c>
      <c r="Z319" s="64">
        <v>0</v>
      </c>
      <c r="AA319" s="64">
        <v>0</v>
      </c>
      <c r="AB319" s="64">
        <v>0</v>
      </c>
      <c r="AC319" s="64">
        <v>0</v>
      </c>
      <c r="AD319" s="64">
        <v>0</v>
      </c>
      <c r="AE319" s="64">
        <v>0</v>
      </c>
      <c r="AF319" s="64">
        <v>0</v>
      </c>
      <c r="AG319" s="64">
        <v>0</v>
      </c>
      <c r="AH319" s="64">
        <v>23</v>
      </c>
      <c r="AI319" s="64">
        <v>1</v>
      </c>
      <c r="AJ319" s="64">
        <v>0</v>
      </c>
      <c r="AK319" s="64">
        <v>0</v>
      </c>
      <c r="AL319" s="64">
        <v>0</v>
      </c>
      <c r="AM319" s="64">
        <v>0</v>
      </c>
    </row>
    <row r="320" spans="2:39" x14ac:dyDescent="0.2">
      <c r="B320" t="str">
        <f t="shared" si="136"/>
        <v>NorCal-8</v>
      </c>
      <c r="C320" t="str">
        <f t="shared" si="137"/>
        <v>Nov 2024-NorCal-8</v>
      </c>
      <c r="D320">
        <f t="shared" si="138"/>
        <v>8</v>
      </c>
      <c r="E320">
        <f t="shared" si="139"/>
        <v>3.08</v>
      </c>
      <c r="F320">
        <f t="shared" si="140"/>
        <v>8</v>
      </c>
      <c r="G320">
        <f t="shared" si="141"/>
        <v>3</v>
      </c>
      <c r="H320" t="str">
        <f>IF(V320="","",IFERROR(VLOOKUP(TRIM($V320),KEY!$B$2:$E$58,3,FALSE),""))</f>
        <v>NorCal</v>
      </c>
      <c r="I320" t="str">
        <f t="shared" si="142"/>
        <v>WEST-51</v>
      </c>
      <c r="J320" t="str">
        <f t="shared" si="143"/>
        <v>Mar 2025-WEST-51</v>
      </c>
      <c r="K320">
        <f t="shared" si="144"/>
        <v>51</v>
      </c>
      <c r="L320">
        <f t="shared" si="145"/>
        <v>13.53</v>
      </c>
      <c r="M320">
        <f>IF(V320="","",IFERROR(VLOOKUP(TRIM($V320),KEY!$B$2:$E$58,4,FALSE),""))</f>
        <v>53</v>
      </c>
      <c r="N320">
        <f t="shared" si="146"/>
        <v>13</v>
      </c>
      <c r="O320" t="str">
        <f t="shared" si="147"/>
        <v>TO-3</v>
      </c>
      <c r="P320">
        <f t="shared" si="148"/>
        <v>3</v>
      </c>
      <c r="Q320">
        <f t="shared" si="149"/>
        <v>1.03</v>
      </c>
      <c r="R320">
        <f t="shared" si="150"/>
        <v>3</v>
      </c>
      <c r="S320">
        <f t="shared" si="151"/>
        <v>1</v>
      </c>
      <c r="T320" t="str">
        <f>IF(V320="","",IFERROR(VLOOKUP(TRIM($V320),KEY!$B$2:$E$58,2,FALSE),""))</f>
        <v>TO</v>
      </c>
      <c r="V320" s="64" t="s">
        <v>50</v>
      </c>
      <c r="W320" s="64">
        <v>7</v>
      </c>
      <c r="X320" s="64">
        <v>0</v>
      </c>
      <c r="Y320" s="64">
        <v>0</v>
      </c>
      <c r="Z320" s="64">
        <v>0</v>
      </c>
      <c r="AA320" s="64">
        <v>0</v>
      </c>
      <c r="AB320" s="64">
        <v>0</v>
      </c>
      <c r="AC320" s="64">
        <v>0</v>
      </c>
      <c r="AD320" s="64">
        <v>0</v>
      </c>
      <c r="AE320" s="64">
        <v>0</v>
      </c>
      <c r="AF320" s="64">
        <v>0</v>
      </c>
      <c r="AG320" s="64">
        <v>0</v>
      </c>
      <c r="AH320" s="64">
        <v>7</v>
      </c>
      <c r="AI320" s="64">
        <v>1</v>
      </c>
      <c r="AJ320" s="64">
        <v>0</v>
      </c>
      <c r="AK320" s="64">
        <v>0</v>
      </c>
      <c r="AL320" s="64">
        <v>0</v>
      </c>
      <c r="AM320" s="64">
        <v>0</v>
      </c>
    </row>
    <row r="321" spans="1:39" x14ac:dyDescent="0.2">
      <c r="B321" t="str">
        <f t="shared" si="136"/>
        <v>TX-11</v>
      </c>
      <c r="C321" t="str">
        <f t="shared" si="137"/>
        <v>Nov 2024-TX-11</v>
      </c>
      <c r="D321">
        <f t="shared" si="138"/>
        <v>11</v>
      </c>
      <c r="E321">
        <f t="shared" si="139"/>
        <v>3.11</v>
      </c>
      <c r="F321">
        <f t="shared" si="140"/>
        <v>11</v>
      </c>
      <c r="G321">
        <f t="shared" si="141"/>
        <v>3</v>
      </c>
      <c r="H321" t="str">
        <f>IF(V321="","",IFERROR(VLOOKUP(TRIM($V321),KEY!$B$2:$E$58,3,FALSE),""))</f>
        <v>TX</v>
      </c>
      <c r="I321" t="str">
        <f t="shared" si="142"/>
        <v>WEST-52</v>
      </c>
      <c r="J321" t="str">
        <f t="shared" si="143"/>
        <v>Mar 2025-WEST-52</v>
      </c>
      <c r="K321">
        <f t="shared" si="144"/>
        <v>52</v>
      </c>
      <c r="L321">
        <f t="shared" si="145"/>
        <v>13.54</v>
      </c>
      <c r="M321">
        <f>IF(V321="","",IFERROR(VLOOKUP(TRIM($V321),KEY!$B$2:$E$58,4,FALSE),""))</f>
        <v>54</v>
      </c>
      <c r="N321">
        <f t="shared" si="146"/>
        <v>13</v>
      </c>
      <c r="O321" t="str">
        <f t="shared" si="147"/>
        <v>TO-4</v>
      </c>
      <c r="P321">
        <f t="shared" si="148"/>
        <v>4</v>
      </c>
      <c r="Q321">
        <f t="shared" si="149"/>
        <v>1.04</v>
      </c>
      <c r="R321">
        <f t="shared" si="150"/>
        <v>4</v>
      </c>
      <c r="S321">
        <f t="shared" si="151"/>
        <v>1</v>
      </c>
      <c r="T321" t="str">
        <f>IF(V321="","",IFERROR(VLOOKUP(TRIM($V321),KEY!$B$2:$E$58,2,FALSE),""))</f>
        <v>TO</v>
      </c>
      <c r="V321" s="64" t="s">
        <v>51</v>
      </c>
      <c r="W321" s="64">
        <v>49</v>
      </c>
      <c r="X321" s="64">
        <v>0</v>
      </c>
      <c r="Y321" s="64">
        <v>0</v>
      </c>
      <c r="Z321" s="64">
        <v>0</v>
      </c>
      <c r="AA321" s="64">
        <v>0</v>
      </c>
      <c r="AB321" s="64">
        <v>0</v>
      </c>
      <c r="AC321" s="64">
        <v>0</v>
      </c>
      <c r="AD321" s="64">
        <v>0</v>
      </c>
      <c r="AE321" s="64">
        <v>0</v>
      </c>
      <c r="AF321" s="64">
        <v>0</v>
      </c>
      <c r="AG321" s="64">
        <v>0</v>
      </c>
      <c r="AH321" s="64">
        <v>49</v>
      </c>
      <c r="AI321" s="64">
        <v>1</v>
      </c>
      <c r="AJ321" s="64">
        <v>0</v>
      </c>
      <c r="AK321" s="64">
        <v>0</v>
      </c>
      <c r="AL321" s="64">
        <v>0</v>
      </c>
      <c r="AM321" s="64">
        <v>0</v>
      </c>
    </row>
    <row r="322" spans="1:39" x14ac:dyDescent="0.2">
      <c r="B322" t="str">
        <f t="shared" si="136"/>
        <v>AZ-18</v>
      </c>
      <c r="C322" t="str">
        <f t="shared" si="137"/>
        <v>Nov 2024-AZ-18</v>
      </c>
      <c r="D322">
        <f t="shared" si="138"/>
        <v>18</v>
      </c>
      <c r="E322">
        <f t="shared" si="139"/>
        <v>4.17</v>
      </c>
      <c r="F322">
        <f t="shared" si="140"/>
        <v>17</v>
      </c>
      <c r="G322">
        <f t="shared" si="141"/>
        <v>4</v>
      </c>
      <c r="H322" t="str">
        <f>IF(V322="","",IFERROR(VLOOKUP(TRIM($V322),KEY!$B$2:$E$58,3,FALSE),""))</f>
        <v>AZ</v>
      </c>
      <c r="I322" t="str">
        <f t="shared" si="142"/>
        <v>WEST-53</v>
      </c>
      <c r="J322" t="str">
        <f t="shared" si="143"/>
        <v>Mar 2025-WEST-53</v>
      </c>
      <c r="K322">
        <f t="shared" si="144"/>
        <v>53</v>
      </c>
      <c r="L322">
        <f t="shared" si="145"/>
        <v>13.55</v>
      </c>
      <c r="M322">
        <f>IF(V322="","",IFERROR(VLOOKUP(TRIM($V322),KEY!$B$2:$E$58,4,FALSE),""))</f>
        <v>55</v>
      </c>
      <c r="N322">
        <f t="shared" si="146"/>
        <v>13</v>
      </c>
      <c r="O322" t="str">
        <f t="shared" si="147"/>
        <v>TO-5</v>
      </c>
      <c r="P322">
        <f t="shared" si="148"/>
        <v>5</v>
      </c>
      <c r="Q322">
        <f t="shared" si="149"/>
        <v>1.05</v>
      </c>
      <c r="R322">
        <f t="shared" si="150"/>
        <v>5</v>
      </c>
      <c r="S322">
        <f t="shared" si="151"/>
        <v>1</v>
      </c>
      <c r="T322" t="str">
        <f>IF(V322="","",IFERROR(VLOOKUP(TRIM($V322),KEY!$B$2:$E$58,2,FALSE),""))</f>
        <v>TO</v>
      </c>
      <c r="V322" s="64" t="s">
        <v>52</v>
      </c>
      <c r="W322" s="64">
        <v>4</v>
      </c>
      <c r="X322" s="64">
        <v>0</v>
      </c>
      <c r="Y322" s="64">
        <v>0</v>
      </c>
      <c r="Z322" s="64">
        <v>0</v>
      </c>
      <c r="AA322" s="64">
        <v>0</v>
      </c>
      <c r="AB322" s="64">
        <v>0</v>
      </c>
      <c r="AC322" s="64">
        <v>0</v>
      </c>
      <c r="AD322" s="64">
        <v>0</v>
      </c>
      <c r="AE322" s="64">
        <v>0</v>
      </c>
      <c r="AF322" s="64">
        <v>0</v>
      </c>
      <c r="AG322" s="64">
        <v>0</v>
      </c>
      <c r="AH322" s="64">
        <v>4</v>
      </c>
      <c r="AI322" s="64">
        <v>1</v>
      </c>
      <c r="AJ322" s="64">
        <v>0</v>
      </c>
      <c r="AK322" s="64">
        <v>0</v>
      </c>
      <c r="AL322" s="64">
        <v>0</v>
      </c>
      <c r="AM322" s="64">
        <v>0</v>
      </c>
    </row>
    <row r="323" spans="1:39" x14ac:dyDescent="0.2">
      <c r="B323" t="str">
        <f t="shared" si="136"/>
        <v>AZ-4</v>
      </c>
      <c r="C323" t="str">
        <f t="shared" si="137"/>
        <v>Nov 2024-AZ-4</v>
      </c>
      <c r="D323">
        <f t="shared" si="138"/>
        <v>4</v>
      </c>
      <c r="E323">
        <f t="shared" si="139"/>
        <v>2.1800000000000002</v>
      </c>
      <c r="F323">
        <f t="shared" si="140"/>
        <v>18</v>
      </c>
      <c r="G323">
        <f t="shared" si="141"/>
        <v>2</v>
      </c>
      <c r="H323" t="str">
        <f>IF(V323="","",IFERROR(VLOOKUP(TRIM($V323),KEY!$B$2:$E$58,3,FALSE),""))</f>
        <v>AZ</v>
      </c>
      <c r="I323" t="str">
        <f t="shared" si="142"/>
        <v>WEST-3</v>
      </c>
      <c r="J323" t="str">
        <f t="shared" si="143"/>
        <v>Mar 2025-WEST-3</v>
      </c>
      <c r="K323">
        <f t="shared" si="144"/>
        <v>3</v>
      </c>
      <c r="L323">
        <f t="shared" si="145"/>
        <v>3.56</v>
      </c>
      <c r="M323">
        <f>IF(V323="","",IFERROR(VLOOKUP(TRIM($V323),KEY!$B$2:$E$58,4,FALSE),""))</f>
        <v>56</v>
      </c>
      <c r="N323">
        <f t="shared" si="146"/>
        <v>3</v>
      </c>
      <c r="O323" t="str">
        <f t="shared" si="147"/>
        <v>VW-1</v>
      </c>
      <c r="P323">
        <f t="shared" si="148"/>
        <v>1</v>
      </c>
      <c r="Q323">
        <f t="shared" si="149"/>
        <v>1.01</v>
      </c>
      <c r="R323">
        <f t="shared" si="150"/>
        <v>1</v>
      </c>
      <c r="S323">
        <f t="shared" si="151"/>
        <v>1</v>
      </c>
      <c r="T323" t="str">
        <f>IF(V323="","",IFERROR(VLOOKUP(TRIM($V323),KEY!$B$2:$E$58,2,FALSE),""))</f>
        <v>VW</v>
      </c>
      <c r="V323" t="s">
        <v>53</v>
      </c>
      <c r="W323">
        <v>17</v>
      </c>
      <c r="X323">
        <v>2</v>
      </c>
      <c r="Y323">
        <v>0.11764705882352941</v>
      </c>
      <c r="Z323">
        <v>1</v>
      </c>
      <c r="AA323">
        <v>2</v>
      </c>
      <c r="AB323">
        <v>0</v>
      </c>
      <c r="AC323">
        <v>0</v>
      </c>
      <c r="AD323">
        <v>3</v>
      </c>
      <c r="AE323">
        <v>0.17647058823529413</v>
      </c>
      <c r="AF323">
        <v>0</v>
      </c>
      <c r="AG323">
        <v>0</v>
      </c>
      <c r="AH323">
        <v>14</v>
      </c>
      <c r="AI323">
        <v>0.82352941176470584</v>
      </c>
      <c r="AJ323">
        <v>0</v>
      </c>
      <c r="AK323">
        <v>0</v>
      </c>
      <c r="AL323">
        <v>0</v>
      </c>
      <c r="AM323">
        <v>0</v>
      </c>
    </row>
    <row r="324" spans="1:39" x14ac:dyDescent="0.2">
      <c r="B324" t="str">
        <f t="shared" si="136"/>
        <v>OC-9</v>
      </c>
      <c r="C324" t="str">
        <f t="shared" si="137"/>
        <v>Nov 2024-OC-9</v>
      </c>
      <c r="D324">
        <f t="shared" si="138"/>
        <v>9</v>
      </c>
      <c r="E324">
        <f t="shared" si="139"/>
        <v>3.09</v>
      </c>
      <c r="F324">
        <f t="shared" si="140"/>
        <v>9</v>
      </c>
      <c r="G324">
        <f t="shared" si="141"/>
        <v>3</v>
      </c>
      <c r="H324" t="str">
        <f>IF(V324="","",IFERROR(VLOOKUP(TRIM($V324),KEY!$B$2:$E$58,3,FALSE),""))</f>
        <v>OC</v>
      </c>
      <c r="I324" t="str">
        <f t="shared" si="142"/>
        <v>WEST-54</v>
      </c>
      <c r="J324" t="str">
        <f t="shared" si="143"/>
        <v>Mar 2025-WEST-54</v>
      </c>
      <c r="K324">
        <f t="shared" si="144"/>
        <v>54</v>
      </c>
      <c r="L324">
        <f t="shared" si="145"/>
        <v>13.57</v>
      </c>
      <c r="M324">
        <f>IF(V324="","",IFERROR(VLOOKUP(TRIM($V324),KEY!$B$2:$E$58,4,FALSE),""))</f>
        <v>57</v>
      </c>
      <c r="N324">
        <f t="shared" si="146"/>
        <v>13</v>
      </c>
      <c r="O324" t="str">
        <f t="shared" si="147"/>
        <v>VW-2</v>
      </c>
      <c r="P324">
        <f t="shared" si="148"/>
        <v>2</v>
      </c>
      <c r="Q324">
        <f t="shared" si="149"/>
        <v>2.02</v>
      </c>
      <c r="R324">
        <f t="shared" si="150"/>
        <v>2</v>
      </c>
      <c r="S324">
        <f t="shared" si="151"/>
        <v>2</v>
      </c>
      <c r="T324" t="str">
        <f>IF(V324="","",IFERROR(VLOOKUP(TRIM($V324),KEY!$B$2:$E$58,2,FALSE),""))</f>
        <v>VW</v>
      </c>
      <c r="V324" t="s">
        <v>54</v>
      </c>
      <c r="W324">
        <v>36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35</v>
      </c>
      <c r="AG324">
        <v>0</v>
      </c>
      <c r="AH324">
        <v>0</v>
      </c>
      <c r="AI324">
        <v>0.97222222222222221</v>
      </c>
      <c r="AJ324">
        <v>1</v>
      </c>
      <c r="AK324">
        <v>0</v>
      </c>
      <c r="AL324">
        <v>0</v>
      </c>
      <c r="AM324">
        <v>2.7777777777777776E-2</v>
      </c>
    </row>
    <row r="325" spans="1:39" x14ac:dyDescent="0.2">
      <c r="W325" s="1">
        <f t="shared" ref="W325:X325" si="152">SUM(W268:W324)</f>
        <v>1081</v>
      </c>
      <c r="X325" s="1">
        <f t="shared" si="152"/>
        <v>36</v>
      </c>
      <c r="Y325" s="3">
        <f>X325/W325</f>
        <v>3.330249768732655E-2</v>
      </c>
      <c r="Z325" s="1">
        <f t="shared" ref="Z325:AD325" si="153">SUM(Z268:Z324)</f>
        <v>3</v>
      </c>
      <c r="AA325" s="1">
        <f t="shared" si="153"/>
        <v>36</v>
      </c>
      <c r="AB325" s="1">
        <f t="shared" si="153"/>
        <v>0</v>
      </c>
      <c r="AC325" s="1">
        <f t="shared" si="153"/>
        <v>6</v>
      </c>
      <c r="AD325" s="1">
        <f t="shared" si="153"/>
        <v>45</v>
      </c>
      <c r="AE325" s="3">
        <f>AD325/W325</f>
        <v>4.1628122109158186E-2</v>
      </c>
      <c r="AF325" s="1">
        <f>SUM(AF268:AF324)</f>
        <v>237</v>
      </c>
      <c r="AG325" s="1">
        <f>SUM(AG268:AG324)</f>
        <v>0</v>
      </c>
      <c r="AH325" s="1">
        <f>SUM(AH268:AH324)</f>
        <v>788</v>
      </c>
      <c r="AI325" s="3">
        <f>(AF325+AG325+AH325)/W325</f>
        <v>0.9481961147086031</v>
      </c>
      <c r="AJ325" s="1">
        <f>SUM(AJ268:AJ324)</f>
        <v>4</v>
      </c>
      <c r="AK325" s="1">
        <f>SUM(AK268:AK324)</f>
        <v>7</v>
      </c>
      <c r="AL325" s="1">
        <f>SUM(AL268:AL324)</f>
        <v>0</v>
      </c>
      <c r="AM325" s="3">
        <f>(AJ325+AK325+AL325)/W325</f>
        <v>1.0175763182238668E-2</v>
      </c>
    </row>
    <row r="326" spans="1:39" x14ac:dyDescent="0.2">
      <c r="J326" t="str">
        <f ca="1">$AA$1&amp;"-"&amp;O326</f>
        <v>Mar 2025-RGN-3</v>
      </c>
      <c r="N326" t="s">
        <v>98</v>
      </c>
      <c r="O326" t="str">
        <f ca="1">T326&amp;"-"&amp;P326</f>
        <v>RGN-3</v>
      </c>
      <c r="P326">
        <f ca="1">COUNTIFS($T$326:$T$330,T326,$Q$326:$Q$330,"&lt;"&amp;Q326)+1</f>
        <v>3</v>
      </c>
      <c r="Q326">
        <f t="shared" ref="Q326:Q330" ca="1" si="154">S326+(R326/100)</f>
        <v>3.01</v>
      </c>
      <c r="R326">
        <f>COUNTIFS($T$326:$T$330,T326,$V$326:$V$330,"&lt;"&amp;V326)+1</f>
        <v>1</v>
      </c>
      <c r="S326">
        <f ca="1">COUNTIFS($T$326:$T$330,T326,$Y$326:$Y$330,"&gt;"&amp;Y326)+1</f>
        <v>3</v>
      </c>
      <c r="T326" t="s">
        <v>158</v>
      </c>
      <c r="V326" t="s">
        <v>247</v>
      </c>
      <c r="W326" s="1">
        <f ca="1">SUMIF($H$268:W$324,$N326,W$268:W$324)</f>
        <v>207</v>
      </c>
      <c r="X326" s="1">
        <f ca="1">SUMIF($H$268:X$324,$N326,X$268:X$324)</f>
        <v>7</v>
      </c>
      <c r="Y326" s="3">
        <f t="shared" ref="Y326:Y330" ca="1" si="155">X326/W326</f>
        <v>3.3816425120772944E-2</v>
      </c>
      <c r="Z326" s="1">
        <f ca="1">SUMIF($H$268:Z$324,$N326,Z$268:Z$324)</f>
        <v>2</v>
      </c>
      <c r="AA326" s="1">
        <f ca="1">SUMIF($H$268:AA$324,$N326,AA$268:AA$324)</f>
        <v>7</v>
      </c>
      <c r="AB326" s="1">
        <f ca="1">SUMIF($H$268:AB$324,$N326,AB$268:AB$324)</f>
        <v>0</v>
      </c>
      <c r="AC326" s="1">
        <f ca="1">SUMIF($H$268:AC$324,$N326,AC$268:AC$324)</f>
        <v>2</v>
      </c>
      <c r="AD326" s="1">
        <f ca="1">SUMIF($H$268:AD$324,$N326,AD$268:AD$324)</f>
        <v>11</v>
      </c>
      <c r="AE326" s="3">
        <f t="shared" ref="AE326:AE330" ca="1" si="156">AD326/W326</f>
        <v>5.3140096618357488E-2</v>
      </c>
      <c r="AF326" s="1">
        <f ca="1">SUMIF($H$268:AF$324,$N326,AF$268:AF$324)</f>
        <v>68</v>
      </c>
      <c r="AG326" s="1">
        <f ca="1">SUMIF($H$268:AG$324,$N326,AG$268:AG$324)</f>
        <v>0</v>
      </c>
      <c r="AH326" s="1">
        <f ca="1">SUMIF($H$268:AH$324,$N326,AH$268:AH$324)</f>
        <v>119</v>
      </c>
      <c r="AI326" s="3">
        <f t="shared" ref="AI326:AI330" ca="1" si="157">(AF326+AG326+AH326)/W326</f>
        <v>0.90338164251207731</v>
      </c>
      <c r="AJ326" s="1">
        <f ca="1">SUMIF($H$268:AJ$324,$N326,AJ$268:AJ$324)</f>
        <v>3</v>
      </c>
      <c r="AK326" s="1">
        <f ca="1">SUMIF($H$268:AK$324,$N326,AK$268:AK$324)</f>
        <v>6</v>
      </c>
      <c r="AL326" s="1">
        <f ca="1">SUMIF($H$268:AL$324,$N326,AL$268:AL$324)</f>
        <v>0</v>
      </c>
      <c r="AM326" s="3">
        <f t="shared" ref="AM326:AM330" ca="1" si="158">(AJ326+AK326+AL326)/W326</f>
        <v>4.3478260869565216E-2</v>
      </c>
    </row>
    <row r="327" spans="1:39" x14ac:dyDescent="0.2">
      <c r="J327" t="str">
        <f t="shared" ref="J327:J330" ca="1" si="159">$AA$1&amp;"-"&amp;O327</f>
        <v>Mar 2025-RGN-5</v>
      </c>
      <c r="N327" t="s">
        <v>102</v>
      </c>
      <c r="O327" t="str">
        <f t="shared" ref="O327:O330" ca="1" si="160">T327&amp;"-"&amp;P327</f>
        <v>RGN-5</v>
      </c>
      <c r="P327">
        <f ca="1">COUNTIFS($T$326:$T$330,T327,$Q$326:$Q$330,"&lt;"&amp;Q327)+1</f>
        <v>5</v>
      </c>
      <c r="Q327">
        <f t="shared" ca="1" si="154"/>
        <v>5.0199999999999996</v>
      </c>
      <c r="R327">
        <f>COUNTIFS($T$326:$T$330,T327,$V$326:$V$330,"&lt;"&amp;V327)+1</f>
        <v>2</v>
      </c>
      <c r="S327">
        <f ca="1">COUNTIFS($T$326:$T$330,T327,$Y$326:$Y$330,"&gt;"&amp;Y327)+1</f>
        <v>5</v>
      </c>
      <c r="T327" t="s">
        <v>158</v>
      </c>
      <c r="V327" t="s">
        <v>268</v>
      </c>
      <c r="W327" s="1">
        <f ca="1">SUMIF($H$268:W$324,$N327,W$268:W$324)</f>
        <v>182</v>
      </c>
      <c r="X327" s="1">
        <f ca="1">SUMIF($H$268:X$324,$N327,X$268:X$324)</f>
        <v>2</v>
      </c>
      <c r="Y327" s="3">
        <f t="shared" ca="1" si="155"/>
        <v>1.098901098901099E-2</v>
      </c>
      <c r="Z327" s="1">
        <f ca="1">SUMIF($H$268:Z$324,$N327,Z$268:Z$324)</f>
        <v>0</v>
      </c>
      <c r="AA327" s="1">
        <f ca="1">SUMIF($H$268:AA$324,$N327,AA$268:AA$324)</f>
        <v>2</v>
      </c>
      <c r="AB327" s="1">
        <f ca="1">SUMIF($H$268:AB$324,$N327,AB$268:AB$324)</f>
        <v>0</v>
      </c>
      <c r="AC327" s="1">
        <f ca="1">SUMIF($H$268:AC$324,$N327,AC$268:AC$324)</f>
        <v>0</v>
      </c>
      <c r="AD327" s="1">
        <f ca="1">SUMIF($H$268:AD$324,$N327,AD$268:AD$324)</f>
        <v>2</v>
      </c>
      <c r="AE327" s="3">
        <f t="shared" ca="1" si="156"/>
        <v>1.098901098901099E-2</v>
      </c>
      <c r="AF327" s="1">
        <f ca="1">SUMIF($H$268:AF$324,$N327,AF$268:AF$324)</f>
        <v>57</v>
      </c>
      <c r="AG327" s="1">
        <f ca="1">SUMIF($H$268:AG$324,$N327,AG$268:AG$324)</f>
        <v>0</v>
      </c>
      <c r="AH327" s="1">
        <f ca="1">SUMIF($H$268:AH$324,$N327,AH$268:AH$324)</f>
        <v>123</v>
      </c>
      <c r="AI327" s="3">
        <f t="shared" ca="1" si="157"/>
        <v>0.98901098901098905</v>
      </c>
      <c r="AJ327" s="1">
        <f ca="1">SUMIF($H$268:AJ$324,$N327,AJ$268:AJ$324)</f>
        <v>0</v>
      </c>
      <c r="AK327" s="1">
        <f ca="1">SUMIF($H$268:AK$324,$N327,AK$268:AK$324)</f>
        <v>0</v>
      </c>
      <c r="AL327" s="1">
        <f ca="1">SUMIF($H$268:AL$324,$N327,AL$268:AL$324)</f>
        <v>0</v>
      </c>
      <c r="AM327" s="3">
        <f t="shared" ca="1" si="158"/>
        <v>0</v>
      </c>
    </row>
    <row r="328" spans="1:39" x14ac:dyDescent="0.2">
      <c r="J328" t="str">
        <f t="shared" ca="1" si="159"/>
        <v>Mar 2025-RGN-1</v>
      </c>
      <c r="N328" t="s">
        <v>100</v>
      </c>
      <c r="O328" t="str">
        <f t="shared" ca="1" si="160"/>
        <v>RGN-1</v>
      </c>
      <c r="P328">
        <f ca="1">COUNTIFS($T$326:$T$330,T328,$Q$326:$Q$330,"&lt;"&amp;Q328)+1</f>
        <v>1</v>
      </c>
      <c r="Q328">
        <f t="shared" ca="1" si="154"/>
        <v>1.03</v>
      </c>
      <c r="R328">
        <f>COUNTIFS($T$326:$T$330,T328,$V$326:$V$330,"&lt;"&amp;V328)+1</f>
        <v>3</v>
      </c>
      <c r="S328">
        <f ca="1">COUNTIFS($T$326:$T$330,T328,$Y$326:$Y$330,"&gt;"&amp;Y328)+1</f>
        <v>1</v>
      </c>
      <c r="T328" t="s">
        <v>158</v>
      </c>
      <c r="V328" t="s">
        <v>251</v>
      </c>
      <c r="W328" s="1">
        <f ca="1">SUMIF($H$268:W$324,$N328,W$268:W$324)</f>
        <v>275</v>
      </c>
      <c r="X328" s="1">
        <f ca="1">SUMIF($H$268:X$324,$N328,X$268:X$324)</f>
        <v>16</v>
      </c>
      <c r="Y328" s="3">
        <f t="shared" ca="1" si="155"/>
        <v>5.8181818181818182E-2</v>
      </c>
      <c r="Z328" s="1">
        <f ca="1">SUMIF($H$268:Z$324,$N328,Z$268:Z$324)</f>
        <v>1</v>
      </c>
      <c r="AA328" s="1">
        <f ca="1">SUMIF($H$268:AA$324,$N328,AA$268:AA$324)</f>
        <v>16</v>
      </c>
      <c r="AB328" s="1">
        <f ca="1">SUMIF($H$268:AB$324,$N328,AB$268:AB$324)</f>
        <v>0</v>
      </c>
      <c r="AC328" s="1">
        <f ca="1">SUMIF($H$268:AC$324,$N328,AC$268:AC$324)</f>
        <v>0</v>
      </c>
      <c r="AD328" s="1">
        <f ca="1">SUMIF($H$268:AD$324,$N328,AD$268:AD$324)</f>
        <v>17</v>
      </c>
      <c r="AE328" s="3">
        <f t="shared" ca="1" si="156"/>
        <v>6.1818181818181821E-2</v>
      </c>
      <c r="AF328" s="1">
        <f ca="1">SUMIF($H$268:AF$324,$N328,AF$268:AF$324)</f>
        <v>87</v>
      </c>
      <c r="AG328" s="1">
        <f ca="1">SUMIF($H$268:AG$324,$N328,AG$268:AG$324)</f>
        <v>0</v>
      </c>
      <c r="AH328" s="1">
        <f ca="1">SUMIF($H$268:AH$324,$N328,AH$268:AH$324)</f>
        <v>170</v>
      </c>
      <c r="AI328" s="3">
        <f t="shared" ca="1" si="157"/>
        <v>0.93454545454545457</v>
      </c>
      <c r="AJ328" s="1">
        <f ca="1">SUMIF($H$268:AJ$324,$N328,AJ$268:AJ$324)</f>
        <v>1</v>
      </c>
      <c r="AK328" s="1">
        <f ca="1">SUMIF($H$268:AK$324,$N328,AK$268:AK$324)</f>
        <v>0</v>
      </c>
      <c r="AL328" s="1">
        <f ca="1">SUMIF($H$268:AL$324,$N328,AL$268:AL$324)</f>
        <v>0</v>
      </c>
      <c r="AM328" s="3">
        <f t="shared" ca="1" si="158"/>
        <v>3.6363636363636364E-3</v>
      </c>
    </row>
    <row r="329" spans="1:39" x14ac:dyDescent="0.2">
      <c r="J329" t="str">
        <f t="shared" ca="1" si="159"/>
        <v>Mar 2025-RGN-4</v>
      </c>
      <c r="N329" t="s">
        <v>99</v>
      </c>
      <c r="O329" t="str">
        <f t="shared" ca="1" si="160"/>
        <v>RGN-4</v>
      </c>
      <c r="P329">
        <f ca="1">COUNTIFS($T$326:$T$330,T329,$Q$326:$Q$330,"&lt;"&amp;Q329)+1</f>
        <v>4</v>
      </c>
      <c r="Q329">
        <f t="shared" ca="1" si="154"/>
        <v>4.04</v>
      </c>
      <c r="R329">
        <f>COUNTIFS($T$326:$T$330,T329,$V$326:$V$330,"&lt;"&amp;V329)+1</f>
        <v>4</v>
      </c>
      <c r="S329">
        <f ca="1">COUNTIFS($T$326:$T$330,T329,$Y$326:$Y$330,"&gt;"&amp;Y329)+1</f>
        <v>4</v>
      </c>
      <c r="T329" t="s">
        <v>158</v>
      </c>
      <c r="V329" t="s">
        <v>269</v>
      </c>
      <c r="W329" s="1">
        <f ca="1">SUMIF($H$268:W$324,$N329,W$268:W$324)</f>
        <v>250</v>
      </c>
      <c r="X329" s="1">
        <f ca="1">SUMIF($H$268:X$324,$N329,X$268:X$324)</f>
        <v>5</v>
      </c>
      <c r="Y329" s="3">
        <f t="shared" ca="1" si="155"/>
        <v>0.02</v>
      </c>
      <c r="Z329" s="1">
        <f ca="1">SUMIF($H$268:Z$324,$N329,Z$268:Z$324)</f>
        <v>0</v>
      </c>
      <c r="AA329" s="1">
        <f ca="1">SUMIF($H$268:AA$324,$N329,AA$268:AA$324)</f>
        <v>5</v>
      </c>
      <c r="AB329" s="1">
        <f ca="1">SUMIF($H$268:AB$324,$N329,AB$268:AB$324)</f>
        <v>0</v>
      </c>
      <c r="AC329" s="1">
        <f ca="1">SUMIF($H$268:AC$324,$N329,AC$268:AC$324)</f>
        <v>3</v>
      </c>
      <c r="AD329" s="1">
        <f ca="1">SUMIF($H$268:AD$324,$N329,AD$268:AD$324)</f>
        <v>8</v>
      </c>
      <c r="AE329" s="3">
        <f t="shared" ca="1" si="156"/>
        <v>3.2000000000000001E-2</v>
      </c>
      <c r="AF329" s="1">
        <f ca="1">SUMIF($H$268:AF$324,$N329,AF$268:AF$324)</f>
        <v>8</v>
      </c>
      <c r="AG329" s="1">
        <f ca="1">SUMIF($H$268:AG$324,$N329,AG$268:AG$324)</f>
        <v>0</v>
      </c>
      <c r="AH329" s="1">
        <f ca="1">SUMIF($H$268:AH$324,$N329,AH$268:AH$324)</f>
        <v>233</v>
      </c>
      <c r="AI329" s="3">
        <f t="shared" ca="1" si="157"/>
        <v>0.96399999999999997</v>
      </c>
      <c r="AJ329" s="1">
        <f ca="1">SUMIF($H$268:AJ$324,$N329,AJ$268:AJ$324)</f>
        <v>0</v>
      </c>
      <c r="AK329" s="1">
        <f ca="1">SUMIF($H$268:AK$324,$N329,AK$268:AK$324)</f>
        <v>1</v>
      </c>
      <c r="AL329" s="1">
        <f ca="1">SUMIF($H$268:AL$324,$N329,AL$268:AL$324)</f>
        <v>0</v>
      </c>
      <c r="AM329" s="3">
        <f t="shared" ca="1" si="158"/>
        <v>4.0000000000000001E-3</v>
      </c>
    </row>
    <row r="330" spans="1:39" x14ac:dyDescent="0.2">
      <c r="J330" t="str">
        <f t="shared" ca="1" si="159"/>
        <v>Mar 2025-RGN-2</v>
      </c>
      <c r="N330" t="s">
        <v>101</v>
      </c>
      <c r="O330" t="str">
        <f t="shared" ca="1" si="160"/>
        <v>RGN-2</v>
      </c>
      <c r="P330">
        <f ca="1">COUNTIFS($T$326:$T$330,T330,$Q$326:$Q$330,"&lt;"&amp;Q330)+1</f>
        <v>2</v>
      </c>
      <c r="Q330">
        <f t="shared" ca="1" si="154"/>
        <v>2.0499999999999998</v>
      </c>
      <c r="R330">
        <f>COUNTIFS($T$326:$T$330,T330,$V$326:$V$330,"&lt;"&amp;V330)+1</f>
        <v>5</v>
      </c>
      <c r="S330">
        <f ca="1">COUNTIFS($T$326:$T$330,T330,$Y$326:$Y$330,"&gt;"&amp;Y330)+1</f>
        <v>2</v>
      </c>
      <c r="T330" t="s">
        <v>158</v>
      </c>
      <c r="V330" t="s">
        <v>252</v>
      </c>
      <c r="W330" s="1">
        <f ca="1">SUMIF($H$268:W$324,$N330,W$268:W$324)</f>
        <v>167</v>
      </c>
      <c r="X330" s="1">
        <f ca="1">SUMIF($H$268:X$324,$N330,X$268:X$324)</f>
        <v>6</v>
      </c>
      <c r="Y330" s="3">
        <f t="shared" ca="1" si="155"/>
        <v>3.5928143712574849E-2</v>
      </c>
      <c r="Z330" s="1">
        <f ca="1">SUMIF($H$268:Z$324,$N330,Z$268:Z$324)</f>
        <v>0</v>
      </c>
      <c r="AA330" s="1">
        <f ca="1">SUMIF($H$268:AA$324,$N330,AA$268:AA$324)</f>
        <v>6</v>
      </c>
      <c r="AB330" s="1">
        <f ca="1">SUMIF($H$268:AB$324,$N330,AB$268:AB$324)</f>
        <v>0</v>
      </c>
      <c r="AC330" s="1">
        <f ca="1">SUMIF($H$268:AC$324,$N330,AC$268:AC$324)</f>
        <v>1</v>
      </c>
      <c r="AD330" s="1">
        <f ca="1">SUMIF($H$268:AD$324,$N330,AD$268:AD$324)</f>
        <v>7</v>
      </c>
      <c r="AE330" s="3">
        <f t="shared" ca="1" si="156"/>
        <v>4.1916167664670656E-2</v>
      </c>
      <c r="AF330" s="1">
        <f ca="1">SUMIF($H$268:AF$324,$N330,AF$268:AF$324)</f>
        <v>17</v>
      </c>
      <c r="AG330" s="1">
        <f ca="1">SUMIF($H$268:AG$324,$N330,AG$268:AG$324)</f>
        <v>0</v>
      </c>
      <c r="AH330" s="1">
        <f ca="1">SUMIF($H$268:AH$324,$N330,AH$268:AH$324)</f>
        <v>143</v>
      </c>
      <c r="AI330" s="3">
        <f t="shared" ca="1" si="157"/>
        <v>0.95808383233532934</v>
      </c>
      <c r="AJ330" s="1">
        <f ca="1">SUMIF($H$268:AJ$324,$N330,AJ$268:AJ$324)</f>
        <v>0</v>
      </c>
      <c r="AK330" s="1">
        <f ca="1">SUMIF($H$268:AK$324,$N330,AK$268:AK$324)</f>
        <v>0</v>
      </c>
      <c r="AL330" s="1">
        <f ca="1">SUMIF($H$268:AL$324,$N330,AL$268:AL$324)</f>
        <v>0</v>
      </c>
      <c r="AM330" s="3">
        <f t="shared" ca="1" si="158"/>
        <v>0</v>
      </c>
    </row>
    <row r="332" spans="1:39" ht="16" customHeight="1" x14ac:dyDescent="0.2">
      <c r="A332" s="2"/>
      <c r="B332" s="2"/>
      <c r="C332" s="86" t="str">
        <f>AB1</f>
        <v>Apr 2025</v>
      </c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</row>
    <row r="333" spans="1:39" x14ac:dyDescent="0.2">
      <c r="A333" s="2"/>
      <c r="B333" s="2" t="s">
        <v>105</v>
      </c>
      <c r="C333" s="2" t="s">
        <v>105</v>
      </c>
      <c r="D333" s="2"/>
      <c r="E333" s="2"/>
      <c r="F333" s="2"/>
      <c r="G333" s="2"/>
      <c r="H333" s="2"/>
      <c r="I333" s="2" t="s">
        <v>103</v>
      </c>
      <c r="J333" s="2"/>
      <c r="K333" s="2"/>
      <c r="L333" s="2"/>
      <c r="M333" s="2"/>
      <c r="N333" s="2"/>
      <c r="O333" s="2" t="s">
        <v>104</v>
      </c>
      <c r="P333" s="2"/>
      <c r="Q333" s="2"/>
      <c r="R333" s="2"/>
      <c r="S333" s="2"/>
      <c r="T333" s="2"/>
      <c r="U333" s="2"/>
      <c r="V333" s="2" t="s">
        <v>0</v>
      </c>
      <c r="W333" s="2" t="s">
        <v>2</v>
      </c>
      <c r="X333" s="2" t="s">
        <v>75</v>
      </c>
      <c r="Y333" s="2" t="s">
        <v>218</v>
      </c>
      <c r="Z333" s="2" t="s">
        <v>74</v>
      </c>
      <c r="AA333" s="2" t="s">
        <v>75</v>
      </c>
      <c r="AB333" s="2" t="s">
        <v>76</v>
      </c>
      <c r="AC333" s="2" t="s">
        <v>77</v>
      </c>
      <c r="AD333" s="2" t="s">
        <v>3</v>
      </c>
      <c r="AE333" s="2" t="s">
        <v>1</v>
      </c>
      <c r="AF333" s="2" t="s">
        <v>4</v>
      </c>
      <c r="AG333" s="2" t="s">
        <v>5</v>
      </c>
      <c r="AH333" s="2" t="s">
        <v>6</v>
      </c>
      <c r="AI333" s="2" t="s">
        <v>7</v>
      </c>
      <c r="AJ333" s="2" t="s">
        <v>78</v>
      </c>
      <c r="AK333" s="2" t="s">
        <v>79</v>
      </c>
      <c r="AL333" s="2" t="s">
        <v>80</v>
      </c>
      <c r="AM333" s="2" t="s">
        <v>8</v>
      </c>
    </row>
    <row r="334" spans="1:39" x14ac:dyDescent="0.2">
      <c r="B334" t="str">
        <f>IF(V334="","",H334&amp;"-"&amp;D334)</f>
        <v>AZ-1</v>
      </c>
      <c r="C334" t="str">
        <f>IF(V334="","",$W$1&amp;"-"&amp;B334)</f>
        <v>Nov 2024-AZ-1</v>
      </c>
      <c r="D334">
        <f>IF(V334="","",COUNTIFS($H$334:$H$390,H334,$E$334:$E$390,"&lt;"&amp;E334)+1)</f>
        <v>1</v>
      </c>
      <c r="E334">
        <f>IF(V334="","",G334+(F334/100))</f>
        <v>1.01</v>
      </c>
      <c r="F334">
        <f>IF(V334="","",COUNTIFS($H$334:$H$390,H334,$V$334:$V$390,"&lt;"&amp;V334)+1)</f>
        <v>1</v>
      </c>
      <c r="G334">
        <f>IF(V334="","",COUNTIFS($H$334:$H$390,H334,$Y$334:$Y$390,"&gt;"&amp;Y334)+1)</f>
        <v>1</v>
      </c>
      <c r="H334" t="str">
        <f>IF(V334="","",IFERROR(VLOOKUP(TRIM($V334),KEY!$B$2:$E$58,3,FALSE),""))</f>
        <v>AZ</v>
      </c>
      <c r="I334" t="str">
        <f>IF(V334="","","WEST-"&amp;K334)</f>
        <v>WEST-4</v>
      </c>
      <c r="J334" t="str">
        <f>IF(V334="","",$AB$1&amp;"-"&amp;I334)</f>
        <v>Apr 2025-WEST-4</v>
      </c>
      <c r="K334">
        <f>IFERROR(IF(V334="","",RANK(L334,$L$334:$L$390,1)),"-")</f>
        <v>4</v>
      </c>
      <c r="L334">
        <f>IFERROR(IF(V334="","",N334+(M334/100)),"-")</f>
        <v>4.01</v>
      </c>
      <c r="M334">
        <f>IF(V334="","",IFERROR(VLOOKUP(TRIM($V334),KEY!$B$2:$E$58,4,FALSE),""))</f>
        <v>1</v>
      </c>
      <c r="N334">
        <f>IFERROR(IF(V334="","",RANK(Y334,$Y$334:$Y$390)),"-")</f>
        <v>4</v>
      </c>
      <c r="O334" t="str">
        <f>IF(V334="","",T334&amp;"-"&amp;P334)</f>
        <v>AC-1</v>
      </c>
      <c r="P334">
        <f>IF(V334="","",COUNTIFS($T$334:$T$390,T334,$Q$334:$Q$390,"&lt;"&amp;Q334)+1)</f>
        <v>1</v>
      </c>
      <c r="Q334">
        <f>IF(V334="","",S334+(R334/100))</f>
        <v>1.01</v>
      </c>
      <c r="R334">
        <f>IF(V334="","",COUNTIFS($T$334:$T$390,T334,$V$334:$V$390,"&lt;"&amp;V334)+1)</f>
        <v>1</v>
      </c>
      <c r="S334">
        <f>IF(V334="","",COUNTIFS($T$334:$T$390,T334,$Y$334:$Y$390,"&gt;"&amp;Y334)+1)</f>
        <v>1</v>
      </c>
      <c r="T334" t="str">
        <f>IF(V334="","",IFERROR(VLOOKUP(TRIM($V334),KEY!$B$2:$E$58,2,FALSE),""))</f>
        <v>AC</v>
      </c>
      <c r="V334" s="64" t="s">
        <v>9</v>
      </c>
      <c r="W334" s="64">
        <v>13</v>
      </c>
      <c r="X334" s="64">
        <v>0</v>
      </c>
      <c r="Y334" s="64">
        <v>0</v>
      </c>
      <c r="Z334" s="64">
        <v>0</v>
      </c>
      <c r="AA334" s="64">
        <v>0</v>
      </c>
      <c r="AB334" s="64">
        <v>0</v>
      </c>
      <c r="AC334" s="64">
        <v>0</v>
      </c>
      <c r="AD334" s="64">
        <v>0</v>
      </c>
      <c r="AE334" s="64">
        <v>0</v>
      </c>
      <c r="AF334" s="64">
        <v>0</v>
      </c>
      <c r="AG334" s="64">
        <v>0</v>
      </c>
      <c r="AH334" s="64">
        <v>13</v>
      </c>
      <c r="AI334" s="64">
        <v>1</v>
      </c>
      <c r="AJ334" s="64">
        <v>0</v>
      </c>
      <c r="AK334" s="64">
        <v>0</v>
      </c>
      <c r="AL334" s="64">
        <v>0</v>
      </c>
      <c r="AM334" s="64">
        <v>0</v>
      </c>
    </row>
    <row r="335" spans="1:39" x14ac:dyDescent="0.2">
      <c r="B335" t="str">
        <f t="shared" ref="B335:B390" si="161">IF(V335="","",H335&amp;"-"&amp;D335)</f>
        <v>SoCal-3</v>
      </c>
      <c r="C335" t="str">
        <f t="shared" ref="C335:C390" si="162">IF(V335="","",$W$1&amp;"-"&amp;B335)</f>
        <v>Nov 2024-SoCal-3</v>
      </c>
      <c r="D335">
        <f t="shared" ref="D335:D390" si="163">IF(V335="","",COUNTIFS($H$334:$H$390,H335,$E$334:$E$390,"&lt;"&amp;E335)+1)</f>
        <v>3</v>
      </c>
      <c r="E335">
        <f t="shared" ref="E335:E390" si="164">IF(V335="","",G335+(F335/100))</f>
        <v>3.01</v>
      </c>
      <c r="F335">
        <f t="shared" ref="F335:F390" si="165">IF(V335="","",COUNTIFS($H$334:$H$390,H335,$V$334:$V$390,"&lt;"&amp;V335)+1)</f>
        <v>1</v>
      </c>
      <c r="G335">
        <f t="shared" ref="G335:G390" si="166">IF(V335="","",COUNTIFS($H$334:$H$390,H335,$Y$334:$Y$390,"&gt;"&amp;Y335)+1)</f>
        <v>3</v>
      </c>
      <c r="H335" t="str">
        <f>IF(V335="","",IFERROR(VLOOKUP(TRIM($V335),KEY!$B$2:$E$58,3,FALSE),""))</f>
        <v>SoCal</v>
      </c>
      <c r="I335" t="str">
        <f t="shared" ref="I335:I390" si="167">IF(V335="","","WEST-"&amp;K335)</f>
        <v>WEST-5</v>
      </c>
      <c r="J335" t="str">
        <f t="shared" ref="J335:J390" si="168">IF(V335="","",$AB$1&amp;"-"&amp;I335)</f>
        <v>Apr 2025-WEST-5</v>
      </c>
      <c r="K335">
        <f t="shared" ref="K335:K390" si="169">IFERROR(IF(V335="","",RANK(L335,$L$334:$L$390,1)),"-")</f>
        <v>5</v>
      </c>
      <c r="L335">
        <f t="shared" ref="L335:L390" si="170">IFERROR(IF(V335="","",N335+(M335/100)),"-")</f>
        <v>4.0199999999999996</v>
      </c>
      <c r="M335">
        <f>IF(V335="","",IFERROR(VLOOKUP(TRIM($V335),KEY!$B$2:$E$58,4,FALSE),""))</f>
        <v>2</v>
      </c>
      <c r="N335">
        <f t="shared" ref="N335:N390" si="171">IFERROR(IF(V335="","",RANK(Y335,$Y$334:$Y$390)),"-")</f>
        <v>4</v>
      </c>
      <c r="O335" t="str">
        <f t="shared" ref="O335:O390" si="172">IF(V335="","",T335&amp;"-"&amp;P335)</f>
        <v>AC-2</v>
      </c>
      <c r="P335">
        <f t="shared" ref="P335:P390" si="173">IF(V335="","",COUNTIFS($T$334:$T$390,T335,$Q$334:$Q$390,"&lt;"&amp;Q335)+1)</f>
        <v>2</v>
      </c>
      <c r="Q335">
        <f t="shared" ref="Q335:Q390" si="174">IF(V335="","",S335+(R335/100))</f>
        <v>1.02</v>
      </c>
      <c r="R335">
        <f t="shared" ref="R335:R390" si="175">IF(V335="","",COUNTIFS($T$334:$T$390,T335,$V$334:$V$390,"&lt;"&amp;V335)+1)</f>
        <v>2</v>
      </c>
      <c r="S335">
        <f t="shared" ref="S335:S390" si="176">IF(V335="","",COUNTIFS($T$334:$T$390,T335,$Y$334:$Y$390,"&gt;"&amp;Y335)+1)</f>
        <v>1</v>
      </c>
      <c r="T335" t="str">
        <f>IF(V335="","",IFERROR(VLOOKUP(TRIM($V335),KEY!$B$2:$E$58,2,FALSE),""))</f>
        <v>AC</v>
      </c>
      <c r="V335" s="64" t="s">
        <v>10</v>
      </c>
      <c r="W335" s="64">
        <v>9</v>
      </c>
      <c r="X335" s="64">
        <v>0</v>
      </c>
      <c r="Y335" s="64">
        <v>0</v>
      </c>
      <c r="Z335" s="64">
        <v>0</v>
      </c>
      <c r="AA335" s="64">
        <v>0</v>
      </c>
      <c r="AB335" s="64">
        <v>0</v>
      </c>
      <c r="AC335" s="64">
        <v>0</v>
      </c>
      <c r="AD335" s="64">
        <v>0</v>
      </c>
      <c r="AE335" s="64">
        <v>0</v>
      </c>
      <c r="AF335" s="64">
        <v>0</v>
      </c>
      <c r="AG335" s="64">
        <v>0</v>
      </c>
      <c r="AH335" s="64">
        <v>9</v>
      </c>
      <c r="AI335" s="64">
        <v>1</v>
      </c>
      <c r="AJ335" s="64">
        <v>0</v>
      </c>
      <c r="AK335" s="64">
        <v>0</v>
      </c>
      <c r="AL335" s="64">
        <v>0</v>
      </c>
      <c r="AM335" s="64">
        <v>0</v>
      </c>
    </row>
    <row r="336" spans="1:39" x14ac:dyDescent="0.2">
      <c r="B336" t="str">
        <f t="shared" si="161"/>
        <v>AZ-2</v>
      </c>
      <c r="C336" t="str">
        <f t="shared" si="162"/>
        <v>Nov 2024-AZ-2</v>
      </c>
      <c r="D336">
        <f t="shared" si="163"/>
        <v>2</v>
      </c>
      <c r="E336">
        <f t="shared" si="164"/>
        <v>1.02</v>
      </c>
      <c r="F336">
        <f t="shared" si="165"/>
        <v>2</v>
      </c>
      <c r="G336">
        <f t="shared" si="166"/>
        <v>1</v>
      </c>
      <c r="H336" t="str">
        <f>IF(V336="","",IFERROR(VLOOKUP(TRIM($V336),KEY!$B$2:$E$58,3,FALSE),""))</f>
        <v>AZ</v>
      </c>
      <c r="I336" t="str">
        <f t="shared" si="167"/>
        <v>WEST-6</v>
      </c>
      <c r="J336" t="str">
        <f t="shared" si="168"/>
        <v>Apr 2025-WEST-6</v>
      </c>
      <c r="K336">
        <f t="shared" si="169"/>
        <v>6</v>
      </c>
      <c r="L336">
        <f t="shared" si="170"/>
        <v>4.03</v>
      </c>
      <c r="M336">
        <f>IF(V336="","",IFERROR(VLOOKUP(TRIM($V336),KEY!$B$2:$E$58,4,FALSE),""))</f>
        <v>3</v>
      </c>
      <c r="N336">
        <f t="shared" si="171"/>
        <v>4</v>
      </c>
      <c r="O336" t="str">
        <f t="shared" si="172"/>
        <v>AU-1</v>
      </c>
      <c r="P336">
        <f t="shared" si="173"/>
        <v>1</v>
      </c>
      <c r="Q336">
        <f t="shared" si="174"/>
        <v>1.01</v>
      </c>
      <c r="R336">
        <f t="shared" si="175"/>
        <v>1</v>
      </c>
      <c r="S336">
        <f t="shared" si="176"/>
        <v>1</v>
      </c>
      <c r="T336" t="str">
        <f>IF(V336="","",IFERROR(VLOOKUP(TRIM($V336),KEY!$B$2:$E$58,2,FALSE),""))</f>
        <v>AU</v>
      </c>
      <c r="V336" s="64" t="s">
        <v>11</v>
      </c>
      <c r="W336" s="64">
        <v>6</v>
      </c>
      <c r="X336" s="64">
        <v>0</v>
      </c>
      <c r="Y336" s="64">
        <v>0</v>
      </c>
      <c r="Z336" s="64">
        <v>0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6</v>
      </c>
      <c r="AI336" s="64">
        <v>1</v>
      </c>
      <c r="AJ336" s="64">
        <v>0</v>
      </c>
      <c r="AK336" s="64">
        <v>0</v>
      </c>
      <c r="AL336" s="64">
        <v>0</v>
      </c>
      <c r="AM336" s="64">
        <v>0</v>
      </c>
    </row>
    <row r="337" spans="2:39" x14ac:dyDescent="0.2">
      <c r="B337" t="str">
        <f t="shared" si="161"/>
        <v>SoCal-4</v>
      </c>
      <c r="C337" t="str">
        <f t="shared" si="162"/>
        <v>Nov 2024-SoCal-4</v>
      </c>
      <c r="D337">
        <f t="shared" si="163"/>
        <v>4</v>
      </c>
      <c r="E337">
        <f t="shared" si="164"/>
        <v>3.02</v>
      </c>
      <c r="F337">
        <f t="shared" si="165"/>
        <v>2</v>
      </c>
      <c r="G337">
        <f t="shared" si="166"/>
        <v>3</v>
      </c>
      <c r="H337" t="str">
        <f>IF(V337="","",IFERROR(VLOOKUP(TRIM($V337),KEY!$B$2:$E$58,3,FALSE),""))</f>
        <v>SoCal</v>
      </c>
      <c r="I337" t="str">
        <f t="shared" si="167"/>
        <v>WEST-7</v>
      </c>
      <c r="J337" t="str">
        <f t="shared" si="168"/>
        <v>Apr 2025-WEST-7</v>
      </c>
      <c r="K337">
        <f t="shared" si="169"/>
        <v>7</v>
      </c>
      <c r="L337">
        <f t="shared" si="170"/>
        <v>4.04</v>
      </c>
      <c r="M337">
        <f>IF(V337="","",IFERROR(VLOOKUP(TRIM($V337),KEY!$B$2:$E$58,4,FALSE),""))</f>
        <v>4</v>
      </c>
      <c r="N337">
        <f t="shared" si="171"/>
        <v>4</v>
      </c>
      <c r="O337" t="str">
        <f t="shared" si="172"/>
        <v>AU-2</v>
      </c>
      <c r="P337">
        <f t="shared" si="173"/>
        <v>2</v>
      </c>
      <c r="Q337">
        <f t="shared" si="174"/>
        <v>1.02</v>
      </c>
      <c r="R337">
        <f t="shared" si="175"/>
        <v>2</v>
      </c>
      <c r="S337">
        <f t="shared" si="176"/>
        <v>1</v>
      </c>
      <c r="T337" t="str">
        <f>IF(V337="","",IFERROR(VLOOKUP(TRIM($V337),KEY!$B$2:$E$58,2,FALSE),""))</f>
        <v>AU</v>
      </c>
      <c r="V337" s="64" t="s">
        <v>12</v>
      </c>
      <c r="W337" s="64">
        <v>21</v>
      </c>
      <c r="X337" s="64">
        <v>0</v>
      </c>
      <c r="Y337" s="64">
        <v>0</v>
      </c>
      <c r="Z337" s="64">
        <v>0</v>
      </c>
      <c r="AA337" s="64">
        <v>0</v>
      </c>
      <c r="AB337" s="64">
        <v>0</v>
      </c>
      <c r="AC337" s="64">
        <v>0</v>
      </c>
      <c r="AD337" s="64">
        <v>0</v>
      </c>
      <c r="AE337" s="64">
        <v>0</v>
      </c>
      <c r="AF337" s="64">
        <v>0</v>
      </c>
      <c r="AG337" s="64">
        <v>0</v>
      </c>
      <c r="AH337" s="64">
        <v>21</v>
      </c>
      <c r="AI337" s="64">
        <v>1</v>
      </c>
      <c r="AJ337" s="64">
        <v>0</v>
      </c>
      <c r="AK337" s="64">
        <v>0</v>
      </c>
      <c r="AL337" s="64">
        <v>0</v>
      </c>
      <c r="AM337" s="64">
        <v>0</v>
      </c>
    </row>
    <row r="338" spans="2:39" x14ac:dyDescent="0.2">
      <c r="B338" t="str">
        <f t="shared" si="161"/>
        <v>OC-4</v>
      </c>
      <c r="C338" t="str">
        <f t="shared" si="162"/>
        <v>Nov 2024-OC-4</v>
      </c>
      <c r="D338">
        <f t="shared" si="163"/>
        <v>4</v>
      </c>
      <c r="E338">
        <f t="shared" si="164"/>
        <v>2.0099999999999998</v>
      </c>
      <c r="F338">
        <f t="shared" si="165"/>
        <v>1</v>
      </c>
      <c r="G338">
        <f t="shared" si="166"/>
        <v>2</v>
      </c>
      <c r="H338" t="str">
        <f>IF(V338="","",IFERROR(VLOOKUP(TRIM($V338),KEY!$B$2:$E$58,3,FALSE),""))</f>
        <v>OC</v>
      </c>
      <c r="I338" t="str">
        <f t="shared" si="167"/>
        <v>WEST-8</v>
      </c>
      <c r="J338" t="str">
        <f t="shared" si="168"/>
        <v>Apr 2025-WEST-8</v>
      </c>
      <c r="K338">
        <f t="shared" si="169"/>
        <v>8</v>
      </c>
      <c r="L338">
        <f t="shared" si="170"/>
        <v>4.05</v>
      </c>
      <c r="M338">
        <f>IF(V338="","",IFERROR(VLOOKUP(TRIM($V338),KEY!$B$2:$E$58,4,FALSE),""))</f>
        <v>5</v>
      </c>
      <c r="N338">
        <f t="shared" si="171"/>
        <v>4</v>
      </c>
      <c r="O338" t="str">
        <f t="shared" si="172"/>
        <v>AU-3</v>
      </c>
      <c r="P338">
        <f t="shared" si="173"/>
        <v>3</v>
      </c>
      <c r="Q338">
        <f t="shared" si="174"/>
        <v>1.03</v>
      </c>
      <c r="R338">
        <f t="shared" si="175"/>
        <v>3</v>
      </c>
      <c r="S338">
        <f t="shared" si="176"/>
        <v>1</v>
      </c>
      <c r="T338" t="str">
        <f>IF(V338="","",IFERROR(VLOOKUP(TRIM($V338),KEY!$B$2:$E$58,2,FALSE),""))</f>
        <v>AU</v>
      </c>
      <c r="V338" s="64" t="s">
        <v>240</v>
      </c>
      <c r="W338" s="64">
        <v>5</v>
      </c>
      <c r="X338" s="64">
        <v>0</v>
      </c>
      <c r="Y338" s="64">
        <v>0</v>
      </c>
      <c r="Z338" s="64">
        <v>0</v>
      </c>
      <c r="AA338" s="64">
        <v>0</v>
      </c>
      <c r="AB338" s="64">
        <v>0</v>
      </c>
      <c r="AC338" s="64">
        <v>0</v>
      </c>
      <c r="AD338" s="64">
        <v>0</v>
      </c>
      <c r="AE338" s="64">
        <v>0</v>
      </c>
      <c r="AF338" s="64">
        <v>0</v>
      </c>
      <c r="AG338" s="64">
        <v>0</v>
      </c>
      <c r="AH338" s="64">
        <v>5</v>
      </c>
      <c r="AI338" s="64">
        <v>1</v>
      </c>
      <c r="AJ338" s="64">
        <v>0</v>
      </c>
      <c r="AK338" s="64">
        <v>0</v>
      </c>
      <c r="AL338" s="64">
        <v>0</v>
      </c>
      <c r="AM338" s="64">
        <v>0</v>
      </c>
    </row>
    <row r="339" spans="2:39" x14ac:dyDescent="0.2">
      <c r="B339" t="str">
        <f t="shared" si="161"/>
        <v>AZ-3</v>
      </c>
      <c r="C339" t="str">
        <f t="shared" si="162"/>
        <v>Nov 2024-AZ-3</v>
      </c>
      <c r="D339">
        <f t="shared" si="163"/>
        <v>3</v>
      </c>
      <c r="E339">
        <f t="shared" si="164"/>
        <v>1.03</v>
      </c>
      <c r="F339">
        <f t="shared" si="165"/>
        <v>3</v>
      </c>
      <c r="G339">
        <f t="shared" si="166"/>
        <v>1</v>
      </c>
      <c r="H339" t="str">
        <f>IF(V339="","",IFERROR(VLOOKUP(TRIM($V339),KEY!$B$2:$E$58,3,FALSE),""))</f>
        <v>AZ</v>
      </c>
      <c r="I339" t="str">
        <f t="shared" si="167"/>
        <v>WEST-9</v>
      </c>
      <c r="J339" t="str">
        <f t="shared" si="168"/>
        <v>Apr 2025-WEST-9</v>
      </c>
      <c r="K339">
        <f t="shared" si="169"/>
        <v>9</v>
      </c>
      <c r="L339">
        <f t="shared" si="170"/>
        <v>4.0599999999999996</v>
      </c>
      <c r="M339">
        <f>IF(V339="","",IFERROR(VLOOKUP(TRIM($V339),KEY!$B$2:$E$58,4,FALSE),""))</f>
        <v>6</v>
      </c>
      <c r="N339">
        <f t="shared" si="171"/>
        <v>4</v>
      </c>
      <c r="O339" t="str">
        <f t="shared" si="172"/>
        <v>AU-4</v>
      </c>
      <c r="P339">
        <f t="shared" si="173"/>
        <v>4</v>
      </c>
      <c r="Q339">
        <f t="shared" si="174"/>
        <v>1.04</v>
      </c>
      <c r="R339">
        <f t="shared" si="175"/>
        <v>4</v>
      </c>
      <c r="S339">
        <f t="shared" si="176"/>
        <v>1</v>
      </c>
      <c r="T339" t="str">
        <f>IF(V339="","",IFERROR(VLOOKUP(TRIM($V339),KEY!$B$2:$E$58,2,FALSE),""))</f>
        <v>AU</v>
      </c>
      <c r="V339" s="64" t="s">
        <v>13</v>
      </c>
      <c r="W339" s="64">
        <v>32</v>
      </c>
      <c r="X339" s="64">
        <v>0</v>
      </c>
      <c r="Y339" s="64">
        <v>0</v>
      </c>
      <c r="Z339" s="64">
        <v>0</v>
      </c>
      <c r="AA339" s="64">
        <v>0</v>
      </c>
      <c r="AB339" s="64">
        <v>0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32</v>
      </c>
      <c r="AI339" s="64">
        <v>1</v>
      </c>
      <c r="AJ339" s="64">
        <v>0</v>
      </c>
      <c r="AK339" s="64">
        <v>0</v>
      </c>
      <c r="AL339" s="64">
        <v>0</v>
      </c>
      <c r="AM339" s="64">
        <v>0</v>
      </c>
    </row>
    <row r="340" spans="2:39" x14ac:dyDescent="0.2">
      <c r="B340" t="str">
        <f t="shared" si="161"/>
        <v>NorCal-1</v>
      </c>
      <c r="C340" t="str">
        <f t="shared" si="162"/>
        <v>Nov 2024-NorCal-1</v>
      </c>
      <c r="D340">
        <f t="shared" si="163"/>
        <v>1</v>
      </c>
      <c r="E340">
        <f t="shared" si="164"/>
        <v>1.01</v>
      </c>
      <c r="F340">
        <f t="shared" si="165"/>
        <v>1</v>
      </c>
      <c r="G340">
        <f t="shared" si="166"/>
        <v>1</v>
      </c>
      <c r="H340" t="str">
        <f>IF(V340="","",IFERROR(VLOOKUP(TRIM($V340),KEY!$B$2:$E$58,3,FALSE),""))</f>
        <v>NorCal</v>
      </c>
      <c r="I340" t="str">
        <f t="shared" si="167"/>
        <v>WEST-11</v>
      </c>
      <c r="J340" t="str">
        <f t="shared" si="168"/>
        <v>Apr 2025-WEST-11</v>
      </c>
      <c r="K340">
        <f t="shared" si="169"/>
        <v>11</v>
      </c>
      <c r="L340">
        <f t="shared" si="170"/>
        <v>4.08</v>
      </c>
      <c r="M340">
        <f>IF(V340="","",IFERROR(VLOOKUP(TRIM($V340),KEY!$B$2:$E$58,4,FALSE),""))</f>
        <v>8</v>
      </c>
      <c r="N340">
        <f t="shared" si="171"/>
        <v>4</v>
      </c>
      <c r="O340" t="str">
        <f t="shared" si="172"/>
        <v>AU-5</v>
      </c>
      <c r="P340">
        <f t="shared" si="173"/>
        <v>5</v>
      </c>
      <c r="Q340">
        <f t="shared" si="174"/>
        <v>1.05</v>
      </c>
      <c r="R340">
        <f t="shared" si="175"/>
        <v>5</v>
      </c>
      <c r="S340">
        <f t="shared" si="176"/>
        <v>1</v>
      </c>
      <c r="T340" t="str">
        <f>IF(V340="","",IFERROR(VLOOKUP(TRIM($V340),KEY!$B$2:$E$58,2,FALSE),""))</f>
        <v>AU</v>
      </c>
      <c r="V340" s="64" t="s">
        <v>275</v>
      </c>
      <c r="W340" s="64">
        <v>51</v>
      </c>
      <c r="X340" s="64">
        <v>0</v>
      </c>
      <c r="Y340" s="64">
        <v>0</v>
      </c>
      <c r="Z340" s="64">
        <v>0</v>
      </c>
      <c r="AA340" s="64">
        <v>0</v>
      </c>
      <c r="AB340" s="64">
        <v>0</v>
      </c>
      <c r="AC340" s="64">
        <v>1</v>
      </c>
      <c r="AD340" s="64">
        <v>1</v>
      </c>
      <c r="AE340" s="64">
        <v>1.9607843137254902E-2</v>
      </c>
      <c r="AF340" s="64">
        <v>50</v>
      </c>
      <c r="AG340" s="64">
        <v>0</v>
      </c>
      <c r="AH340" s="64">
        <v>0</v>
      </c>
      <c r="AI340" s="64">
        <v>0.98039215686274506</v>
      </c>
      <c r="AJ340" s="64">
        <v>0</v>
      </c>
      <c r="AK340" s="64">
        <v>0</v>
      </c>
      <c r="AL340" s="64">
        <v>0</v>
      </c>
      <c r="AM340" s="64">
        <v>0</v>
      </c>
    </row>
    <row r="341" spans="2:39" x14ac:dyDescent="0.2">
      <c r="B341" t="str">
        <f t="shared" si="161"/>
        <v>OC-5</v>
      </c>
      <c r="C341" t="str">
        <f t="shared" si="162"/>
        <v>Nov 2024-OC-5</v>
      </c>
      <c r="D341">
        <f t="shared" si="163"/>
        <v>5</v>
      </c>
      <c r="E341">
        <f t="shared" si="164"/>
        <v>2.02</v>
      </c>
      <c r="F341">
        <f t="shared" si="165"/>
        <v>2</v>
      </c>
      <c r="G341">
        <f t="shared" si="166"/>
        <v>2</v>
      </c>
      <c r="H341" t="str">
        <f>IF(V341="","",IFERROR(VLOOKUP(TRIM($V341),KEY!$B$2:$E$58,3,FALSE),""))</f>
        <v>OC</v>
      </c>
      <c r="I341" t="str">
        <f t="shared" si="167"/>
        <v>WEST-10</v>
      </c>
      <c r="J341" t="str">
        <f t="shared" si="168"/>
        <v>Apr 2025-WEST-10</v>
      </c>
      <c r="K341">
        <f t="shared" si="169"/>
        <v>10</v>
      </c>
      <c r="L341">
        <f t="shared" si="170"/>
        <v>4.07</v>
      </c>
      <c r="M341">
        <f>IF(V341="","",IFERROR(VLOOKUP(TRIM($V341),KEY!$B$2:$E$58,4,FALSE),""))</f>
        <v>7</v>
      </c>
      <c r="N341">
        <f t="shared" si="171"/>
        <v>4</v>
      </c>
      <c r="O341" t="str">
        <f t="shared" si="172"/>
        <v>AU-6</v>
      </c>
      <c r="P341">
        <f t="shared" si="173"/>
        <v>6</v>
      </c>
      <c r="Q341">
        <f t="shared" si="174"/>
        <v>1.06</v>
      </c>
      <c r="R341">
        <f t="shared" si="175"/>
        <v>6</v>
      </c>
      <c r="S341">
        <f t="shared" si="176"/>
        <v>1</v>
      </c>
      <c r="T341" t="str">
        <f>IF(V341="","",IFERROR(VLOOKUP(TRIM($V341),KEY!$B$2:$E$58,2,FALSE),""))</f>
        <v>AU</v>
      </c>
      <c r="V341" s="64" t="s">
        <v>14</v>
      </c>
      <c r="W341" s="64">
        <v>31</v>
      </c>
      <c r="X341" s="64">
        <v>0</v>
      </c>
      <c r="Y341" s="64">
        <v>0</v>
      </c>
      <c r="Z341" s="64">
        <v>0</v>
      </c>
      <c r="AA341" s="64">
        <v>0</v>
      </c>
      <c r="AB341" s="64">
        <v>0</v>
      </c>
      <c r="AC341" s="64">
        <v>0</v>
      </c>
      <c r="AD341" s="64">
        <v>0</v>
      </c>
      <c r="AE341" s="64">
        <v>0</v>
      </c>
      <c r="AF341" s="64">
        <v>0</v>
      </c>
      <c r="AG341" s="64">
        <v>0</v>
      </c>
      <c r="AH341" s="64">
        <v>31</v>
      </c>
      <c r="AI341" s="64">
        <v>1</v>
      </c>
      <c r="AJ341" s="64">
        <v>0</v>
      </c>
      <c r="AK341" s="64">
        <v>0</v>
      </c>
      <c r="AL341" s="64">
        <v>0</v>
      </c>
      <c r="AM341" s="64">
        <v>0</v>
      </c>
    </row>
    <row r="342" spans="2:39" x14ac:dyDescent="0.2">
      <c r="B342" t="str">
        <f t="shared" si="161"/>
        <v>AZ-4</v>
      </c>
      <c r="C342" t="str">
        <f t="shared" si="162"/>
        <v>Nov 2024-AZ-4</v>
      </c>
      <c r="D342">
        <f t="shared" si="163"/>
        <v>4</v>
      </c>
      <c r="E342">
        <f t="shared" si="164"/>
        <v>1.04</v>
      </c>
      <c r="F342">
        <f t="shared" si="165"/>
        <v>4</v>
      </c>
      <c r="G342">
        <f t="shared" si="166"/>
        <v>1</v>
      </c>
      <c r="H342" t="str">
        <f>IF(V342="","",IFERROR(VLOOKUP(TRIM($V342),KEY!$B$2:$E$58,3,FALSE),""))</f>
        <v>AZ</v>
      </c>
      <c r="I342" t="str">
        <f t="shared" si="167"/>
        <v>WEST-12</v>
      </c>
      <c r="J342" t="str">
        <f t="shared" si="168"/>
        <v>Apr 2025-WEST-12</v>
      </c>
      <c r="K342">
        <f t="shared" si="169"/>
        <v>12</v>
      </c>
      <c r="L342">
        <f t="shared" si="170"/>
        <v>4.09</v>
      </c>
      <c r="M342">
        <f>IF(V342="","",IFERROR(VLOOKUP(TRIM($V342),KEY!$B$2:$E$58,4,FALSE),""))</f>
        <v>9</v>
      </c>
      <c r="N342">
        <f t="shared" si="171"/>
        <v>4</v>
      </c>
      <c r="O342" t="str">
        <f t="shared" si="172"/>
        <v>BE-1</v>
      </c>
      <c r="P342">
        <f t="shared" si="173"/>
        <v>1</v>
      </c>
      <c r="Q342">
        <f t="shared" si="174"/>
        <v>1.01</v>
      </c>
      <c r="R342">
        <f t="shared" si="175"/>
        <v>1</v>
      </c>
      <c r="S342">
        <f t="shared" si="176"/>
        <v>1</v>
      </c>
      <c r="T342" t="str">
        <f>IF(V342="","",IFERROR(VLOOKUP(TRIM($V342),KEY!$B$2:$E$58,2,FALSE),""))</f>
        <v>BE</v>
      </c>
      <c r="V342" s="64" t="s">
        <v>15</v>
      </c>
      <c r="W342" s="64">
        <v>2</v>
      </c>
      <c r="X342" s="64">
        <v>0</v>
      </c>
      <c r="Y342" s="64">
        <v>0</v>
      </c>
      <c r="Z342" s="64">
        <v>0</v>
      </c>
      <c r="AA342" s="64">
        <v>0</v>
      </c>
      <c r="AB342" s="64">
        <v>0</v>
      </c>
      <c r="AC342" s="64">
        <v>0</v>
      </c>
      <c r="AD342" s="64">
        <v>0</v>
      </c>
      <c r="AE342" s="64">
        <v>0</v>
      </c>
      <c r="AF342" s="64">
        <v>0</v>
      </c>
      <c r="AG342" s="64">
        <v>0</v>
      </c>
      <c r="AH342" s="64">
        <v>2</v>
      </c>
      <c r="AI342" s="64">
        <v>1</v>
      </c>
      <c r="AJ342" s="64">
        <v>0</v>
      </c>
      <c r="AK342" s="64">
        <v>0</v>
      </c>
      <c r="AL342" s="64">
        <v>0</v>
      </c>
      <c r="AM342" s="64">
        <v>0</v>
      </c>
    </row>
    <row r="343" spans="2:39" x14ac:dyDescent="0.2">
      <c r="B343" t="str">
        <f t="shared" si="161"/>
        <v>AZ-5</v>
      </c>
      <c r="C343" t="str">
        <f t="shared" si="162"/>
        <v>Nov 2024-AZ-5</v>
      </c>
      <c r="D343">
        <f t="shared" si="163"/>
        <v>5</v>
      </c>
      <c r="E343">
        <f t="shared" si="164"/>
        <v>1.05</v>
      </c>
      <c r="F343">
        <f t="shared" si="165"/>
        <v>5</v>
      </c>
      <c r="G343">
        <f t="shared" si="166"/>
        <v>1</v>
      </c>
      <c r="H343" t="str">
        <f>IF(V343="","",IFERROR(VLOOKUP(TRIM($V343),KEY!$B$2:$E$58,3,FALSE),""))</f>
        <v>AZ</v>
      </c>
      <c r="I343" t="str">
        <f t="shared" si="167"/>
        <v>WEST-13</v>
      </c>
      <c r="J343" t="str">
        <f t="shared" si="168"/>
        <v>Apr 2025-WEST-13</v>
      </c>
      <c r="K343">
        <f t="shared" si="169"/>
        <v>13</v>
      </c>
      <c r="L343">
        <f t="shared" si="170"/>
        <v>4.0999999999999996</v>
      </c>
      <c r="M343">
        <f>IF(V343="","",IFERROR(VLOOKUP(TRIM($V343),KEY!$B$2:$E$58,4,FALSE),""))</f>
        <v>10</v>
      </c>
      <c r="N343">
        <f t="shared" si="171"/>
        <v>4</v>
      </c>
      <c r="O343" t="str">
        <f t="shared" si="172"/>
        <v>BM-3</v>
      </c>
      <c r="P343">
        <f t="shared" si="173"/>
        <v>3</v>
      </c>
      <c r="Q343">
        <f t="shared" si="174"/>
        <v>3.01</v>
      </c>
      <c r="R343">
        <f t="shared" si="175"/>
        <v>1</v>
      </c>
      <c r="S343">
        <f t="shared" si="176"/>
        <v>3</v>
      </c>
      <c r="T343" t="str">
        <f>IF(V343="","",IFERROR(VLOOKUP(TRIM($V343),KEY!$B$2:$E$58,2,FALSE),""))</f>
        <v>BM</v>
      </c>
      <c r="V343" s="64" t="s">
        <v>16</v>
      </c>
      <c r="W343" s="64">
        <v>51</v>
      </c>
      <c r="X343" s="64">
        <v>0</v>
      </c>
      <c r="Y343" s="64">
        <v>0</v>
      </c>
      <c r="Z343" s="64">
        <v>0</v>
      </c>
      <c r="AA343" s="64">
        <v>0</v>
      </c>
      <c r="AB343" s="64">
        <v>0</v>
      </c>
      <c r="AC343" s="64">
        <v>0</v>
      </c>
      <c r="AD343" s="64">
        <v>0</v>
      </c>
      <c r="AE343" s="64">
        <v>0</v>
      </c>
      <c r="AF343" s="64">
        <v>47</v>
      </c>
      <c r="AG343" s="64">
        <v>0</v>
      </c>
      <c r="AH343" s="64">
        <v>0</v>
      </c>
      <c r="AI343" s="64">
        <v>0.92156862745098034</v>
      </c>
      <c r="AJ343" s="64">
        <v>0</v>
      </c>
      <c r="AK343" s="64">
        <v>4</v>
      </c>
      <c r="AL343" s="64">
        <v>0</v>
      </c>
      <c r="AM343" s="64">
        <v>7.8431372549019607E-2</v>
      </c>
    </row>
    <row r="344" spans="2:39" x14ac:dyDescent="0.2">
      <c r="B344" t="str">
        <f t="shared" si="161"/>
        <v>TX-1</v>
      </c>
      <c r="C344" t="str">
        <f t="shared" si="162"/>
        <v>Nov 2024-TX-1</v>
      </c>
      <c r="D344">
        <f t="shared" si="163"/>
        <v>1</v>
      </c>
      <c r="E344">
        <f t="shared" si="164"/>
        <v>1.01</v>
      </c>
      <c r="F344">
        <f t="shared" si="165"/>
        <v>1</v>
      </c>
      <c r="G344">
        <f t="shared" si="166"/>
        <v>1</v>
      </c>
      <c r="H344" t="str">
        <f>IF(V344="","",IFERROR(VLOOKUP(TRIM($V344),KEY!$B$2:$E$58,3,FALSE),""))</f>
        <v>TX</v>
      </c>
      <c r="I344" t="str">
        <f t="shared" si="167"/>
        <v>WEST-14</v>
      </c>
      <c r="J344" t="str">
        <f t="shared" si="168"/>
        <v>Apr 2025-WEST-14</v>
      </c>
      <c r="K344">
        <f t="shared" si="169"/>
        <v>14</v>
      </c>
      <c r="L344">
        <f t="shared" si="170"/>
        <v>4.1100000000000003</v>
      </c>
      <c r="M344">
        <f>IF(V344="","",IFERROR(VLOOKUP(TRIM($V344),KEY!$B$2:$E$58,4,FALSE),""))</f>
        <v>11</v>
      </c>
      <c r="N344">
        <f t="shared" si="171"/>
        <v>4</v>
      </c>
      <c r="O344" t="str">
        <f t="shared" si="172"/>
        <v>BM-4</v>
      </c>
      <c r="P344">
        <f t="shared" si="173"/>
        <v>4</v>
      </c>
      <c r="Q344">
        <f t="shared" si="174"/>
        <v>3.02</v>
      </c>
      <c r="R344">
        <f t="shared" si="175"/>
        <v>2</v>
      </c>
      <c r="S344">
        <f t="shared" si="176"/>
        <v>3</v>
      </c>
      <c r="T344" t="str">
        <f>IF(V344="","",IFERROR(VLOOKUP(TRIM($V344),KEY!$B$2:$E$58,2,FALSE),""))</f>
        <v>BM</v>
      </c>
      <c r="V344" s="64" t="s">
        <v>17</v>
      </c>
      <c r="W344" s="64">
        <v>19</v>
      </c>
      <c r="X344" s="64">
        <v>0</v>
      </c>
      <c r="Y344" s="64">
        <v>0</v>
      </c>
      <c r="Z344" s="64">
        <v>0</v>
      </c>
      <c r="AA344" s="64">
        <v>0</v>
      </c>
      <c r="AB344" s="64">
        <v>0</v>
      </c>
      <c r="AC344" s="64">
        <v>0</v>
      </c>
      <c r="AD344" s="64">
        <v>0</v>
      </c>
      <c r="AE344" s="64">
        <v>0</v>
      </c>
      <c r="AF344" s="64">
        <v>16</v>
      </c>
      <c r="AG344" s="64">
        <v>0</v>
      </c>
      <c r="AH344" s="64">
        <v>3</v>
      </c>
      <c r="AI344" s="64">
        <v>1</v>
      </c>
      <c r="AJ344" s="64">
        <v>0</v>
      </c>
      <c r="AK344" s="64">
        <v>0</v>
      </c>
      <c r="AL344" s="64">
        <v>0</v>
      </c>
      <c r="AM344" s="64">
        <v>0</v>
      </c>
    </row>
    <row r="345" spans="2:39" x14ac:dyDescent="0.2">
      <c r="B345" t="str">
        <f t="shared" si="161"/>
        <v>SoCal-5</v>
      </c>
      <c r="C345" t="str">
        <f t="shared" si="162"/>
        <v>Nov 2024-SoCal-5</v>
      </c>
      <c r="D345">
        <f t="shared" si="163"/>
        <v>5</v>
      </c>
      <c r="E345">
        <f t="shared" si="164"/>
        <v>3.04</v>
      </c>
      <c r="F345">
        <f t="shared" si="165"/>
        <v>4</v>
      </c>
      <c r="G345">
        <f t="shared" si="166"/>
        <v>3</v>
      </c>
      <c r="H345" t="str">
        <f>IF(V345="","",IFERROR(VLOOKUP(TRIM($V345),KEY!$B$2:$E$58,3,FALSE),""))</f>
        <v>SoCal</v>
      </c>
      <c r="I345" t="str">
        <f t="shared" si="167"/>
        <v>WEST-15</v>
      </c>
      <c r="J345" t="str">
        <f t="shared" si="168"/>
        <v>Apr 2025-WEST-15</v>
      </c>
      <c r="K345">
        <f t="shared" si="169"/>
        <v>15</v>
      </c>
      <c r="L345">
        <f t="shared" si="170"/>
        <v>4.12</v>
      </c>
      <c r="M345">
        <f>IF(V345="","",IFERROR(VLOOKUP(TRIM($V345),KEY!$B$2:$E$58,4,FALSE),""))</f>
        <v>12</v>
      </c>
      <c r="N345">
        <f t="shared" si="171"/>
        <v>4</v>
      </c>
      <c r="O345" t="str">
        <f t="shared" si="172"/>
        <v>BM-6</v>
      </c>
      <c r="P345">
        <f t="shared" si="173"/>
        <v>6</v>
      </c>
      <c r="Q345">
        <f t="shared" si="174"/>
        <v>3.05</v>
      </c>
      <c r="R345">
        <f t="shared" si="175"/>
        <v>5</v>
      </c>
      <c r="S345">
        <f t="shared" si="176"/>
        <v>3</v>
      </c>
      <c r="T345" t="str">
        <f>IF(V345="","",IFERROR(VLOOKUP(TRIM($V345),KEY!$B$2:$E$58,2,FALSE),""))</f>
        <v>BM</v>
      </c>
      <c r="V345" s="64" t="s">
        <v>267</v>
      </c>
      <c r="W345" s="64">
        <v>7</v>
      </c>
      <c r="X345" s="64">
        <v>0</v>
      </c>
      <c r="Y345" s="64">
        <v>0</v>
      </c>
      <c r="Z345" s="64">
        <v>0</v>
      </c>
      <c r="AA345" s="64">
        <v>0</v>
      </c>
      <c r="AB345" s="64">
        <v>0</v>
      </c>
      <c r="AC345" s="64">
        <v>0</v>
      </c>
      <c r="AD345" s="64">
        <v>0</v>
      </c>
      <c r="AE345" s="64">
        <v>0</v>
      </c>
      <c r="AF345" s="64">
        <v>0</v>
      </c>
      <c r="AG345" s="64">
        <v>0</v>
      </c>
      <c r="AH345" s="64">
        <v>7</v>
      </c>
      <c r="AI345" s="64">
        <v>1</v>
      </c>
      <c r="AJ345" s="64">
        <v>0</v>
      </c>
      <c r="AK345" s="64">
        <v>0</v>
      </c>
      <c r="AL345" s="64">
        <v>0</v>
      </c>
      <c r="AM345" s="64">
        <v>0</v>
      </c>
    </row>
    <row r="346" spans="2:39" x14ac:dyDescent="0.2">
      <c r="B346" t="str">
        <f t="shared" si="161"/>
        <v>OC-6</v>
      </c>
      <c r="C346" t="str">
        <f t="shared" si="162"/>
        <v>Nov 2024-OC-6</v>
      </c>
      <c r="D346">
        <f t="shared" si="163"/>
        <v>6</v>
      </c>
      <c r="E346">
        <f t="shared" si="164"/>
        <v>2.0299999999999998</v>
      </c>
      <c r="F346">
        <f t="shared" si="165"/>
        <v>3</v>
      </c>
      <c r="G346">
        <f t="shared" si="166"/>
        <v>2</v>
      </c>
      <c r="H346" t="str">
        <f>IF(V346="","",IFERROR(VLOOKUP(TRIM($V346),KEY!$B$2:$E$58,3,FALSE),""))</f>
        <v>OC</v>
      </c>
      <c r="I346" t="str">
        <f t="shared" si="167"/>
        <v>WEST-16</v>
      </c>
      <c r="J346" t="str">
        <f t="shared" si="168"/>
        <v>Apr 2025-WEST-16</v>
      </c>
      <c r="K346">
        <f t="shared" si="169"/>
        <v>16</v>
      </c>
      <c r="L346">
        <f t="shared" si="170"/>
        <v>4.13</v>
      </c>
      <c r="M346">
        <f>IF(V346="","",IFERROR(VLOOKUP(TRIM($V346),KEY!$B$2:$E$58,4,FALSE),""))</f>
        <v>13</v>
      </c>
      <c r="N346">
        <f t="shared" si="171"/>
        <v>4</v>
      </c>
      <c r="O346" t="str">
        <f t="shared" si="172"/>
        <v>BM-5</v>
      </c>
      <c r="P346">
        <f t="shared" si="173"/>
        <v>5</v>
      </c>
      <c r="Q346">
        <f t="shared" si="174"/>
        <v>3.03</v>
      </c>
      <c r="R346">
        <f t="shared" si="175"/>
        <v>3</v>
      </c>
      <c r="S346">
        <f t="shared" si="176"/>
        <v>3</v>
      </c>
      <c r="T346" t="str">
        <f>IF(V346="","",IFERROR(VLOOKUP(TRIM($V346),KEY!$B$2:$E$58,2,FALSE),""))</f>
        <v>BM</v>
      </c>
      <c r="V346" s="64" t="s">
        <v>18</v>
      </c>
      <c r="W346" s="64">
        <v>22</v>
      </c>
      <c r="X346" s="64">
        <v>0</v>
      </c>
      <c r="Y346" s="64">
        <v>0</v>
      </c>
      <c r="Z346" s="64">
        <v>0</v>
      </c>
      <c r="AA346" s="64">
        <v>0</v>
      </c>
      <c r="AB346" s="64">
        <v>0</v>
      </c>
      <c r="AC346" s="64">
        <v>0</v>
      </c>
      <c r="AD346" s="64">
        <v>0</v>
      </c>
      <c r="AE346" s="64">
        <v>0</v>
      </c>
      <c r="AF346" s="64">
        <v>0</v>
      </c>
      <c r="AG346" s="64">
        <v>0</v>
      </c>
      <c r="AH346" s="64">
        <v>22</v>
      </c>
      <c r="AI346" s="64">
        <v>1</v>
      </c>
      <c r="AJ346" s="64">
        <v>0</v>
      </c>
      <c r="AK346" s="64">
        <v>0</v>
      </c>
      <c r="AL346" s="64">
        <v>0</v>
      </c>
      <c r="AM346" s="64">
        <v>0</v>
      </c>
    </row>
    <row r="347" spans="2:39" x14ac:dyDescent="0.2">
      <c r="B347" t="str">
        <f t="shared" si="161"/>
        <v>SoCal-2</v>
      </c>
      <c r="C347" t="str">
        <f t="shared" si="162"/>
        <v>Nov 2024-SoCal-2</v>
      </c>
      <c r="D347">
        <f t="shared" si="163"/>
        <v>2</v>
      </c>
      <c r="E347">
        <f t="shared" si="164"/>
        <v>2.0299999999999998</v>
      </c>
      <c r="F347">
        <f t="shared" si="165"/>
        <v>3</v>
      </c>
      <c r="G347">
        <f t="shared" si="166"/>
        <v>2</v>
      </c>
      <c r="H347" t="str">
        <f>IF(V347="","",IFERROR(VLOOKUP(TRIM($V347),KEY!$B$2:$E$58,3,FALSE),""))</f>
        <v>SoCal</v>
      </c>
      <c r="I347" t="str">
        <f t="shared" si="167"/>
        <v>WEST-3</v>
      </c>
      <c r="J347" t="str">
        <f t="shared" si="168"/>
        <v>Apr 2025-WEST-3</v>
      </c>
      <c r="K347">
        <f t="shared" si="169"/>
        <v>3</v>
      </c>
      <c r="L347">
        <f t="shared" si="170"/>
        <v>3.14</v>
      </c>
      <c r="M347">
        <f>IF(V347="","",IFERROR(VLOOKUP(TRIM($V347),KEY!$B$2:$E$58,4,FALSE),""))</f>
        <v>14</v>
      </c>
      <c r="N347">
        <f t="shared" si="171"/>
        <v>3</v>
      </c>
      <c r="O347" t="str">
        <f t="shared" si="172"/>
        <v>BM-2</v>
      </c>
      <c r="P347">
        <f t="shared" si="173"/>
        <v>2</v>
      </c>
      <c r="Q347">
        <f t="shared" si="174"/>
        <v>2.04</v>
      </c>
      <c r="R347">
        <f t="shared" si="175"/>
        <v>4</v>
      </c>
      <c r="S347">
        <f t="shared" si="176"/>
        <v>2</v>
      </c>
      <c r="T347" t="str">
        <f>IF(V347="","",IFERROR(VLOOKUP(TRIM($V347),KEY!$B$2:$E$58,2,FALSE),""))</f>
        <v>BM</v>
      </c>
      <c r="V347" s="64" t="s">
        <v>19</v>
      </c>
      <c r="W347" s="64">
        <v>46</v>
      </c>
      <c r="X347" s="64">
        <v>2</v>
      </c>
      <c r="Y347" s="64">
        <v>4.3478260869565216E-2</v>
      </c>
      <c r="Z347" s="64">
        <v>0</v>
      </c>
      <c r="AA347" s="64">
        <v>2</v>
      </c>
      <c r="AB347" s="64">
        <v>0</v>
      </c>
      <c r="AC347" s="64">
        <v>0</v>
      </c>
      <c r="AD347" s="64">
        <v>2</v>
      </c>
      <c r="AE347" s="64">
        <v>4.3478260869565216E-2</v>
      </c>
      <c r="AF347" s="64">
        <v>0</v>
      </c>
      <c r="AG347" s="64">
        <v>0</v>
      </c>
      <c r="AH347" s="64">
        <v>44</v>
      </c>
      <c r="AI347" s="64">
        <v>0.95652173913043481</v>
      </c>
      <c r="AJ347" s="64">
        <v>0</v>
      </c>
      <c r="AK347" s="64">
        <v>0</v>
      </c>
      <c r="AL347" s="64">
        <v>0</v>
      </c>
      <c r="AM347" s="64">
        <v>0</v>
      </c>
    </row>
    <row r="348" spans="2:39" x14ac:dyDescent="0.2">
      <c r="B348" t="str">
        <f t="shared" si="161"/>
        <v>NorCal-2</v>
      </c>
      <c r="C348" t="str">
        <f t="shared" si="162"/>
        <v>Nov 2024-NorCal-2</v>
      </c>
      <c r="D348">
        <f t="shared" si="163"/>
        <v>2</v>
      </c>
      <c r="E348">
        <f t="shared" si="164"/>
        <v>1.02</v>
      </c>
      <c r="F348">
        <f t="shared" si="165"/>
        <v>2</v>
      </c>
      <c r="G348">
        <f t="shared" si="166"/>
        <v>1</v>
      </c>
      <c r="H348" t="str">
        <f>IF(V348="","",IFERROR(VLOOKUP(TRIM($V348),KEY!$B$2:$E$58,3,FALSE),""))</f>
        <v>NorCal</v>
      </c>
      <c r="I348" t="str">
        <f t="shared" si="167"/>
        <v>WEST-17</v>
      </c>
      <c r="J348" t="str">
        <f t="shared" si="168"/>
        <v>Apr 2025-WEST-17</v>
      </c>
      <c r="K348">
        <f t="shared" si="169"/>
        <v>17</v>
      </c>
      <c r="L348">
        <f t="shared" si="170"/>
        <v>4.1500000000000004</v>
      </c>
      <c r="M348">
        <f>IF(V348="","",IFERROR(VLOOKUP(TRIM($V348),KEY!$B$2:$E$58,4,FALSE),""))</f>
        <v>15</v>
      </c>
      <c r="N348">
        <f t="shared" si="171"/>
        <v>4</v>
      </c>
      <c r="O348" t="str">
        <f t="shared" si="172"/>
        <v>AC-3</v>
      </c>
      <c r="P348">
        <f t="shared" si="173"/>
        <v>3</v>
      </c>
      <c r="Q348">
        <f t="shared" si="174"/>
        <v>1.03</v>
      </c>
      <c r="R348">
        <f t="shared" si="175"/>
        <v>3</v>
      </c>
      <c r="S348">
        <f t="shared" si="176"/>
        <v>1</v>
      </c>
      <c r="T348" t="str">
        <f>IF(V348="","",IFERROR(VLOOKUP(TRIM($V348),KEY!$B$2:$E$58,2,FALSE),""))</f>
        <v>AC</v>
      </c>
      <c r="V348" s="64" t="s">
        <v>262</v>
      </c>
      <c r="W348" s="64">
        <v>10</v>
      </c>
      <c r="X348" s="64">
        <v>0</v>
      </c>
      <c r="Y348" s="64">
        <v>0</v>
      </c>
      <c r="Z348" s="64">
        <v>0</v>
      </c>
      <c r="AA348" s="64">
        <v>0</v>
      </c>
      <c r="AB348" s="64">
        <v>0</v>
      </c>
      <c r="AC348" s="64">
        <v>0</v>
      </c>
      <c r="AD348" s="64">
        <v>0</v>
      </c>
      <c r="AE348" s="64">
        <v>0</v>
      </c>
      <c r="AF348" s="64">
        <v>0</v>
      </c>
      <c r="AG348" s="64">
        <v>0</v>
      </c>
      <c r="AH348" s="64">
        <v>10</v>
      </c>
      <c r="AI348" s="64">
        <v>1</v>
      </c>
      <c r="AJ348" s="64">
        <v>0</v>
      </c>
      <c r="AK348" s="64">
        <v>0</v>
      </c>
      <c r="AL348" s="64">
        <v>0</v>
      </c>
      <c r="AM348" s="64">
        <v>0</v>
      </c>
    </row>
    <row r="349" spans="2:39" x14ac:dyDescent="0.2">
      <c r="B349" t="str">
        <f t="shared" si="161"/>
        <v>NorCal-3</v>
      </c>
      <c r="C349" t="str">
        <f t="shared" si="162"/>
        <v>Nov 2024-NorCal-3</v>
      </c>
      <c r="D349">
        <f t="shared" si="163"/>
        <v>3</v>
      </c>
      <c r="E349">
        <f t="shared" si="164"/>
        <v>1.03</v>
      </c>
      <c r="F349">
        <f t="shared" si="165"/>
        <v>3</v>
      </c>
      <c r="G349">
        <f t="shared" si="166"/>
        <v>1</v>
      </c>
      <c r="H349" t="str">
        <f>IF(V349="","",IFERROR(VLOOKUP(TRIM($V349),KEY!$B$2:$E$58,3,FALSE),""))</f>
        <v>NorCal</v>
      </c>
      <c r="I349" t="str">
        <f t="shared" si="167"/>
        <v>WEST-18</v>
      </c>
      <c r="J349" t="str">
        <f t="shared" si="168"/>
        <v>Apr 2025-WEST-18</v>
      </c>
      <c r="K349">
        <f t="shared" si="169"/>
        <v>18</v>
      </c>
      <c r="L349">
        <f t="shared" si="170"/>
        <v>4.16</v>
      </c>
      <c r="M349">
        <f>IF(V349="","",IFERROR(VLOOKUP(TRIM($V349),KEY!$B$2:$E$58,4,FALSE),""))</f>
        <v>16</v>
      </c>
      <c r="N349">
        <f t="shared" si="171"/>
        <v>4</v>
      </c>
      <c r="O349" t="str">
        <f t="shared" si="172"/>
        <v>HO-1</v>
      </c>
      <c r="P349">
        <f t="shared" si="173"/>
        <v>1</v>
      </c>
      <c r="Q349">
        <f t="shared" si="174"/>
        <v>1.01</v>
      </c>
      <c r="R349">
        <f t="shared" si="175"/>
        <v>1</v>
      </c>
      <c r="S349">
        <f t="shared" si="176"/>
        <v>1</v>
      </c>
      <c r="T349" t="str">
        <f>IF(V349="","",IFERROR(VLOOKUP(TRIM($V349),KEY!$B$2:$E$58,2,FALSE),""))</f>
        <v>HO</v>
      </c>
      <c r="V349" s="64" t="s">
        <v>22</v>
      </c>
      <c r="W349" s="64">
        <v>14</v>
      </c>
      <c r="X349" s="64">
        <v>0</v>
      </c>
      <c r="Y349" s="64">
        <v>0</v>
      </c>
      <c r="Z349" s="64">
        <v>0</v>
      </c>
      <c r="AA349" s="64">
        <v>0</v>
      </c>
      <c r="AB349" s="64">
        <v>0</v>
      </c>
      <c r="AC349" s="64">
        <v>0</v>
      </c>
      <c r="AD349" s="64">
        <v>0</v>
      </c>
      <c r="AE349" s="64">
        <v>0</v>
      </c>
      <c r="AF349" s="64">
        <v>0</v>
      </c>
      <c r="AG349" s="64">
        <v>0</v>
      </c>
      <c r="AH349" s="64">
        <v>14</v>
      </c>
      <c r="AI349" s="64">
        <v>1</v>
      </c>
      <c r="AJ349" s="64">
        <v>0</v>
      </c>
      <c r="AK349" s="64">
        <v>0</v>
      </c>
      <c r="AL349" s="64">
        <v>0</v>
      </c>
      <c r="AM349" s="64">
        <v>0</v>
      </c>
    </row>
    <row r="350" spans="2:39" x14ac:dyDescent="0.2">
      <c r="B350" t="str">
        <f t="shared" si="161"/>
        <v>OC-1</v>
      </c>
      <c r="C350" t="str">
        <f t="shared" si="162"/>
        <v>Nov 2024-OC-1</v>
      </c>
      <c r="D350">
        <f t="shared" si="163"/>
        <v>1</v>
      </c>
      <c r="E350">
        <f t="shared" si="164"/>
        <v>1.04</v>
      </c>
      <c r="F350">
        <f t="shared" si="165"/>
        <v>4</v>
      </c>
      <c r="G350">
        <f t="shared" si="166"/>
        <v>1</v>
      </c>
      <c r="H350" t="str">
        <f>IF(V350="","",IFERROR(VLOOKUP(TRIM($V350),KEY!$B$2:$E$58,3,FALSE),""))</f>
        <v>OC</v>
      </c>
      <c r="I350" t="str">
        <f t="shared" si="167"/>
        <v>WEST-2</v>
      </c>
      <c r="J350" t="str">
        <f t="shared" si="168"/>
        <v>Apr 2025-WEST-2</v>
      </c>
      <c r="K350">
        <f t="shared" si="169"/>
        <v>2</v>
      </c>
      <c r="L350">
        <f t="shared" si="170"/>
        <v>2.17</v>
      </c>
      <c r="M350">
        <f>IF(V350="","",IFERROR(VLOOKUP(TRIM($V350),KEY!$B$2:$E$58,4,FALSE),""))</f>
        <v>17</v>
      </c>
      <c r="N350">
        <f t="shared" si="171"/>
        <v>2</v>
      </c>
      <c r="O350" t="str">
        <f t="shared" si="172"/>
        <v>BM-1</v>
      </c>
      <c r="P350">
        <f t="shared" si="173"/>
        <v>1</v>
      </c>
      <c r="Q350">
        <f t="shared" si="174"/>
        <v>1.06</v>
      </c>
      <c r="R350">
        <f t="shared" si="175"/>
        <v>6</v>
      </c>
      <c r="S350">
        <f t="shared" si="176"/>
        <v>1</v>
      </c>
      <c r="T350" t="str">
        <f>IF(V350="","",IFERROR(VLOOKUP(TRIM($V350),KEY!$B$2:$E$58,2,FALSE),""))</f>
        <v>BM</v>
      </c>
      <c r="V350" s="64" t="s">
        <v>20</v>
      </c>
      <c r="W350" s="64">
        <v>123</v>
      </c>
      <c r="X350" s="64">
        <v>10</v>
      </c>
      <c r="Y350" s="64">
        <v>8.1300813008130079E-2</v>
      </c>
      <c r="Z350" s="64">
        <v>0</v>
      </c>
      <c r="AA350" s="64">
        <v>10</v>
      </c>
      <c r="AB350" s="64">
        <v>0</v>
      </c>
      <c r="AC350" s="64">
        <v>0</v>
      </c>
      <c r="AD350" s="64">
        <v>10</v>
      </c>
      <c r="AE350" s="64">
        <v>8.1300813008130079E-2</v>
      </c>
      <c r="AF350" s="64">
        <v>0</v>
      </c>
      <c r="AG350" s="64">
        <v>0</v>
      </c>
      <c r="AH350" s="64">
        <v>113</v>
      </c>
      <c r="AI350" s="64">
        <v>0.91869918699186992</v>
      </c>
      <c r="AJ350" s="64">
        <v>0</v>
      </c>
      <c r="AK350" s="64">
        <v>0</v>
      </c>
      <c r="AL350" s="64">
        <v>0</v>
      </c>
      <c r="AM350" s="64">
        <v>0</v>
      </c>
    </row>
    <row r="351" spans="2:39" x14ac:dyDescent="0.2">
      <c r="B351" t="str">
        <f t="shared" si="161"/>
        <v>OC-7</v>
      </c>
      <c r="C351" t="str">
        <f t="shared" si="162"/>
        <v>Nov 2024-OC-7</v>
      </c>
      <c r="D351">
        <f t="shared" si="163"/>
        <v>7</v>
      </c>
      <c r="E351">
        <f t="shared" si="164"/>
        <v>2.0499999999999998</v>
      </c>
      <c r="F351">
        <f t="shared" si="165"/>
        <v>5</v>
      </c>
      <c r="G351">
        <f t="shared" si="166"/>
        <v>2</v>
      </c>
      <c r="H351" t="str">
        <f>IF(V351="","",IFERROR(VLOOKUP(TRIM($V351),KEY!$B$2:$E$58,3,FALSE),""))</f>
        <v>OC</v>
      </c>
      <c r="I351" t="str">
        <f t="shared" si="167"/>
        <v>WEST-19</v>
      </c>
      <c r="J351" t="str">
        <f t="shared" si="168"/>
        <v>Apr 2025-WEST-19</v>
      </c>
      <c r="K351">
        <f t="shared" si="169"/>
        <v>19</v>
      </c>
      <c r="L351">
        <f t="shared" si="170"/>
        <v>4.18</v>
      </c>
      <c r="M351">
        <f>IF(V351="","",IFERROR(VLOOKUP(TRIM($V351),KEY!$B$2:$E$58,4,FALSE),""))</f>
        <v>18</v>
      </c>
      <c r="N351">
        <f t="shared" si="171"/>
        <v>4</v>
      </c>
      <c r="O351" t="str">
        <f t="shared" si="172"/>
        <v>MI-1</v>
      </c>
      <c r="P351">
        <f t="shared" si="173"/>
        <v>1</v>
      </c>
      <c r="Q351">
        <f t="shared" si="174"/>
        <v>1.01</v>
      </c>
      <c r="R351">
        <f t="shared" si="175"/>
        <v>1</v>
      </c>
      <c r="S351">
        <f t="shared" si="176"/>
        <v>1</v>
      </c>
      <c r="T351" t="str">
        <f>IF(V351="","",IFERROR(VLOOKUP(TRIM($V351),KEY!$B$2:$E$58,2,FALSE),""))</f>
        <v>MI</v>
      </c>
      <c r="V351" s="64" t="s">
        <v>37</v>
      </c>
      <c r="W351" s="64">
        <v>2</v>
      </c>
      <c r="X351" s="64">
        <v>0</v>
      </c>
      <c r="Y351" s="64">
        <v>0</v>
      </c>
      <c r="Z351" s="64">
        <v>0</v>
      </c>
      <c r="AA351" s="64">
        <v>0</v>
      </c>
      <c r="AB351" s="64">
        <v>0</v>
      </c>
      <c r="AC351" s="64">
        <v>0</v>
      </c>
      <c r="AD351" s="64">
        <v>0</v>
      </c>
      <c r="AE351" s="64">
        <v>0</v>
      </c>
      <c r="AF351" s="64">
        <v>2</v>
      </c>
      <c r="AG351" s="64">
        <v>0</v>
      </c>
      <c r="AH351" s="64">
        <v>0</v>
      </c>
      <c r="AI351" s="64">
        <v>1</v>
      </c>
      <c r="AJ351" s="64">
        <v>0</v>
      </c>
      <c r="AK351" s="64">
        <v>0</v>
      </c>
      <c r="AL351" s="64">
        <v>0</v>
      </c>
      <c r="AM351" s="64">
        <v>0</v>
      </c>
    </row>
    <row r="352" spans="2:39" x14ac:dyDescent="0.2">
      <c r="B352" t="str">
        <f t="shared" si="161"/>
        <v>TX-2</v>
      </c>
      <c r="C352" t="str">
        <f t="shared" si="162"/>
        <v>Nov 2024-TX-2</v>
      </c>
      <c r="D352">
        <f t="shared" si="163"/>
        <v>2</v>
      </c>
      <c r="E352">
        <f t="shared" si="164"/>
        <v>1.02</v>
      </c>
      <c r="F352">
        <f t="shared" si="165"/>
        <v>2</v>
      </c>
      <c r="G352">
        <f t="shared" si="166"/>
        <v>1</v>
      </c>
      <c r="H352" t="str">
        <f>IF(V352="","",IFERROR(VLOOKUP(TRIM($V352),KEY!$B$2:$E$58,3,FALSE),""))</f>
        <v>TX</v>
      </c>
      <c r="I352" t="str">
        <f t="shared" si="167"/>
        <v>WEST-20</v>
      </c>
      <c r="J352" t="str">
        <f t="shared" si="168"/>
        <v>Apr 2025-WEST-20</v>
      </c>
      <c r="K352">
        <f t="shared" si="169"/>
        <v>20</v>
      </c>
      <c r="L352">
        <f t="shared" si="170"/>
        <v>4.1900000000000004</v>
      </c>
      <c r="M352">
        <f>IF(V352="","",IFERROR(VLOOKUP(TRIM($V352),KEY!$B$2:$E$58,4,FALSE),""))</f>
        <v>19</v>
      </c>
      <c r="N352">
        <f t="shared" si="171"/>
        <v>4</v>
      </c>
      <c r="O352" t="str">
        <f t="shared" si="172"/>
        <v>GE-1</v>
      </c>
      <c r="P352">
        <f t="shared" si="173"/>
        <v>1</v>
      </c>
      <c r="Q352">
        <f t="shared" si="174"/>
        <v>1.01</v>
      </c>
      <c r="R352">
        <f t="shared" si="175"/>
        <v>1</v>
      </c>
      <c r="S352">
        <f t="shared" si="176"/>
        <v>1</v>
      </c>
      <c r="T352" t="str">
        <f>IF(V352="","",IFERROR(VLOOKUP(TRIM($V352),KEY!$B$2:$E$58,2,FALSE),""))</f>
        <v>GE</v>
      </c>
      <c r="V352" s="64" t="s">
        <v>263</v>
      </c>
      <c r="W352" s="64">
        <v>2</v>
      </c>
      <c r="X352" s="64">
        <v>0</v>
      </c>
      <c r="Y352" s="64">
        <v>0</v>
      </c>
      <c r="Z352" s="64">
        <v>0</v>
      </c>
      <c r="AA352" s="64">
        <v>0</v>
      </c>
      <c r="AB352" s="64">
        <v>0</v>
      </c>
      <c r="AC352" s="64">
        <v>0</v>
      </c>
      <c r="AD352" s="64">
        <v>0</v>
      </c>
      <c r="AE352" s="64">
        <v>0</v>
      </c>
      <c r="AF352" s="64">
        <v>0</v>
      </c>
      <c r="AG352" s="64">
        <v>0</v>
      </c>
      <c r="AH352" s="64">
        <v>2</v>
      </c>
      <c r="AI352" s="64">
        <v>1</v>
      </c>
      <c r="AJ352" s="64">
        <v>0</v>
      </c>
      <c r="AK352" s="64">
        <v>0</v>
      </c>
      <c r="AL352" s="64">
        <v>0</v>
      </c>
      <c r="AM352" s="64">
        <v>0</v>
      </c>
    </row>
    <row r="353" spans="2:39" x14ac:dyDescent="0.2">
      <c r="B353" t="str">
        <f t="shared" si="161"/>
        <v>TX-3</v>
      </c>
      <c r="C353" t="str">
        <f t="shared" si="162"/>
        <v>Nov 2024-TX-3</v>
      </c>
      <c r="D353">
        <f t="shared" si="163"/>
        <v>3</v>
      </c>
      <c r="E353">
        <f t="shared" si="164"/>
        <v>1.03</v>
      </c>
      <c r="F353">
        <f t="shared" si="165"/>
        <v>3</v>
      </c>
      <c r="G353">
        <f t="shared" si="166"/>
        <v>1</v>
      </c>
      <c r="H353" t="str">
        <f>IF(V353="","",IFERROR(VLOOKUP(TRIM($V353),KEY!$B$2:$E$58,3,FALSE),""))</f>
        <v>TX</v>
      </c>
      <c r="I353" t="str">
        <f t="shared" si="167"/>
        <v>WEST-21</v>
      </c>
      <c r="J353" t="str">
        <f t="shared" si="168"/>
        <v>Apr 2025-WEST-21</v>
      </c>
      <c r="K353">
        <f t="shared" si="169"/>
        <v>21</v>
      </c>
      <c r="L353">
        <f t="shared" si="170"/>
        <v>4.2</v>
      </c>
      <c r="M353">
        <f>IF(V353="","",IFERROR(VLOOKUP(TRIM($V353),KEY!$B$2:$E$58,4,FALSE),""))</f>
        <v>20</v>
      </c>
      <c r="N353">
        <f t="shared" si="171"/>
        <v>4</v>
      </c>
      <c r="O353" t="str">
        <f t="shared" si="172"/>
        <v>HO-2</v>
      </c>
      <c r="P353">
        <f t="shared" si="173"/>
        <v>2</v>
      </c>
      <c r="Q353">
        <f t="shared" si="174"/>
        <v>1.02</v>
      </c>
      <c r="R353">
        <f t="shared" si="175"/>
        <v>2</v>
      </c>
      <c r="S353">
        <f t="shared" si="176"/>
        <v>1</v>
      </c>
      <c r="T353" t="str">
        <f>IF(V353="","",IFERROR(VLOOKUP(TRIM($V353),KEY!$B$2:$E$58,2,FALSE),""))</f>
        <v>HO</v>
      </c>
      <c r="V353" s="64" t="s">
        <v>239</v>
      </c>
      <c r="W353" s="64">
        <v>6</v>
      </c>
      <c r="X353" s="64">
        <v>0</v>
      </c>
      <c r="Y353" s="64">
        <v>0</v>
      </c>
      <c r="Z353" s="64">
        <v>0</v>
      </c>
      <c r="AA353" s="64">
        <v>0</v>
      </c>
      <c r="AB353" s="64">
        <v>0</v>
      </c>
      <c r="AC353" s="64">
        <v>0</v>
      </c>
      <c r="AD353" s="64">
        <v>0</v>
      </c>
      <c r="AE353" s="64">
        <v>0</v>
      </c>
      <c r="AF353" s="64">
        <v>0</v>
      </c>
      <c r="AG353" s="64">
        <v>0</v>
      </c>
      <c r="AH353" s="64">
        <v>6</v>
      </c>
      <c r="AI353" s="64">
        <v>1</v>
      </c>
      <c r="AJ353" s="64">
        <v>0</v>
      </c>
      <c r="AK353" s="64">
        <v>0</v>
      </c>
      <c r="AL353" s="64">
        <v>0</v>
      </c>
      <c r="AM353" s="64">
        <v>0</v>
      </c>
    </row>
    <row r="354" spans="2:39" x14ac:dyDescent="0.2">
      <c r="B354" t="str">
        <f t="shared" si="161"/>
        <v>NorCal-4</v>
      </c>
      <c r="C354" t="str">
        <f t="shared" si="162"/>
        <v>Nov 2024-NorCal-4</v>
      </c>
      <c r="D354">
        <f t="shared" si="163"/>
        <v>4</v>
      </c>
      <c r="E354">
        <f t="shared" si="164"/>
        <v>1.04</v>
      </c>
      <c r="F354">
        <f t="shared" si="165"/>
        <v>4</v>
      </c>
      <c r="G354">
        <f t="shared" si="166"/>
        <v>1</v>
      </c>
      <c r="H354" t="str">
        <f>IF(V354="","",IFERROR(VLOOKUP(TRIM($V354),KEY!$B$2:$E$58,3,FALSE),""))</f>
        <v>NorCal</v>
      </c>
      <c r="I354" t="str">
        <f t="shared" si="167"/>
        <v>WEST-22</v>
      </c>
      <c r="J354" t="str">
        <f t="shared" si="168"/>
        <v>Apr 2025-WEST-22</v>
      </c>
      <c r="K354">
        <f t="shared" si="169"/>
        <v>22</v>
      </c>
      <c r="L354">
        <f t="shared" si="170"/>
        <v>4.21</v>
      </c>
      <c r="M354">
        <f>IF(V354="","",IFERROR(VLOOKUP(TRIM($V354),KEY!$B$2:$E$58,4,FALSE),""))</f>
        <v>21</v>
      </c>
      <c r="N354">
        <f t="shared" si="171"/>
        <v>4</v>
      </c>
      <c r="O354" t="str">
        <f t="shared" si="172"/>
        <v>HO-3</v>
      </c>
      <c r="P354">
        <f t="shared" si="173"/>
        <v>3</v>
      </c>
      <c r="Q354">
        <f t="shared" si="174"/>
        <v>1.03</v>
      </c>
      <c r="R354">
        <f t="shared" si="175"/>
        <v>3</v>
      </c>
      <c r="S354">
        <f t="shared" si="176"/>
        <v>1</v>
      </c>
      <c r="T354" t="str">
        <f>IF(V354="","",IFERROR(VLOOKUP(TRIM($V354),KEY!$B$2:$E$58,2,FALSE),""))</f>
        <v>HO</v>
      </c>
      <c r="V354" s="64" t="s">
        <v>23</v>
      </c>
      <c r="W354" s="64">
        <v>18</v>
      </c>
      <c r="X354" s="64">
        <v>0</v>
      </c>
      <c r="Y354" s="64">
        <v>0</v>
      </c>
      <c r="Z354" s="64">
        <v>0</v>
      </c>
      <c r="AA354" s="64">
        <v>0</v>
      </c>
      <c r="AB354" s="64">
        <v>0</v>
      </c>
      <c r="AC354" s="64">
        <v>0</v>
      </c>
      <c r="AD354" s="64">
        <v>0</v>
      </c>
      <c r="AE354" s="64">
        <v>0</v>
      </c>
      <c r="AF354" s="64">
        <v>0</v>
      </c>
      <c r="AG354" s="64">
        <v>0</v>
      </c>
      <c r="AH354" s="64">
        <v>18</v>
      </c>
      <c r="AI354" s="64">
        <v>1</v>
      </c>
      <c r="AJ354" s="64">
        <v>0</v>
      </c>
      <c r="AK354" s="64">
        <v>0</v>
      </c>
      <c r="AL354" s="64">
        <v>0</v>
      </c>
      <c r="AM354" s="64">
        <v>0</v>
      </c>
    </row>
    <row r="355" spans="2:39" x14ac:dyDescent="0.2">
      <c r="B355" t="str">
        <f t="shared" si="161"/>
        <v>SoCal-6</v>
      </c>
      <c r="C355" t="str">
        <f t="shared" si="162"/>
        <v>Nov 2024-SoCal-6</v>
      </c>
      <c r="D355">
        <f t="shared" si="163"/>
        <v>6</v>
      </c>
      <c r="E355">
        <f t="shared" si="164"/>
        <v>3.05</v>
      </c>
      <c r="F355">
        <f t="shared" si="165"/>
        <v>5</v>
      </c>
      <c r="G355">
        <f t="shared" si="166"/>
        <v>3</v>
      </c>
      <c r="H355" t="str">
        <f>IF(V355="","",IFERROR(VLOOKUP(TRIM($V355),KEY!$B$2:$E$58,3,FALSE),""))</f>
        <v>SoCal</v>
      </c>
      <c r="I355" t="str">
        <f t="shared" si="167"/>
        <v>WEST-23</v>
      </c>
      <c r="J355" t="str">
        <f t="shared" si="168"/>
        <v>Apr 2025-WEST-23</v>
      </c>
      <c r="K355">
        <f t="shared" si="169"/>
        <v>23</v>
      </c>
      <c r="L355">
        <f t="shared" si="170"/>
        <v>4.22</v>
      </c>
      <c r="M355">
        <f>IF(V355="","",IFERROR(VLOOKUP(TRIM($V355),KEY!$B$2:$E$58,4,FALSE),""))</f>
        <v>22</v>
      </c>
      <c r="N355">
        <f t="shared" si="171"/>
        <v>4</v>
      </c>
      <c r="O355" t="str">
        <f t="shared" si="172"/>
        <v>HO-4</v>
      </c>
      <c r="P355">
        <f t="shared" si="173"/>
        <v>4</v>
      </c>
      <c r="Q355">
        <f t="shared" si="174"/>
        <v>1.04</v>
      </c>
      <c r="R355">
        <f t="shared" si="175"/>
        <v>4</v>
      </c>
      <c r="S355">
        <f t="shared" si="176"/>
        <v>1</v>
      </c>
      <c r="T355" t="str">
        <f>IF(V355="","",IFERROR(VLOOKUP(TRIM($V355),KEY!$B$2:$E$58,2,FALSE),""))</f>
        <v>HO</v>
      </c>
      <c r="V355" s="64" t="s">
        <v>24</v>
      </c>
      <c r="W355" s="64">
        <v>20</v>
      </c>
      <c r="X355" s="64">
        <v>0</v>
      </c>
      <c r="Y355" s="64">
        <v>0</v>
      </c>
      <c r="Z355" s="64">
        <v>0</v>
      </c>
      <c r="AA355" s="64">
        <v>0</v>
      </c>
      <c r="AB355" s="64">
        <v>0</v>
      </c>
      <c r="AC355" s="64">
        <v>0</v>
      </c>
      <c r="AD355" s="64">
        <v>0</v>
      </c>
      <c r="AE355" s="64">
        <v>0</v>
      </c>
      <c r="AF355" s="64">
        <v>0</v>
      </c>
      <c r="AG355" s="64">
        <v>0</v>
      </c>
      <c r="AH355" s="64">
        <v>20</v>
      </c>
      <c r="AI355" s="64">
        <v>1</v>
      </c>
      <c r="AJ355" s="64">
        <v>0</v>
      </c>
      <c r="AK355" s="64">
        <v>0</v>
      </c>
      <c r="AL355" s="64">
        <v>0</v>
      </c>
      <c r="AM355" s="64">
        <v>0</v>
      </c>
    </row>
    <row r="356" spans="2:39" x14ac:dyDescent="0.2">
      <c r="B356" t="str">
        <f t="shared" si="161"/>
        <v>TX-4</v>
      </c>
      <c r="C356" t="str">
        <f t="shared" si="162"/>
        <v>Nov 2024-TX-4</v>
      </c>
      <c r="D356">
        <f t="shared" si="163"/>
        <v>4</v>
      </c>
      <c r="E356">
        <f t="shared" si="164"/>
        <v>1.04</v>
      </c>
      <c r="F356">
        <f t="shared" si="165"/>
        <v>4</v>
      </c>
      <c r="G356">
        <f t="shared" si="166"/>
        <v>1</v>
      </c>
      <c r="H356" t="str">
        <f>IF(V356="","",IFERROR(VLOOKUP(TRIM($V356),KEY!$B$2:$E$58,3,FALSE),""))</f>
        <v>TX</v>
      </c>
      <c r="I356" t="str">
        <f t="shared" si="167"/>
        <v>WEST-24</v>
      </c>
      <c r="J356" t="str">
        <f t="shared" si="168"/>
        <v>Apr 2025-WEST-24</v>
      </c>
      <c r="K356">
        <f t="shared" si="169"/>
        <v>24</v>
      </c>
      <c r="L356">
        <f t="shared" si="170"/>
        <v>4.2300000000000004</v>
      </c>
      <c r="M356">
        <f>IF(V356="","",IFERROR(VLOOKUP(TRIM($V356),KEY!$B$2:$E$58,4,FALSE),""))</f>
        <v>23</v>
      </c>
      <c r="N356">
        <f t="shared" si="171"/>
        <v>4</v>
      </c>
      <c r="O356" t="str">
        <f t="shared" si="172"/>
        <v>HY-1</v>
      </c>
      <c r="P356">
        <f t="shared" si="173"/>
        <v>1</v>
      </c>
      <c r="Q356">
        <f t="shared" si="174"/>
        <v>1.01</v>
      </c>
      <c r="R356">
        <f t="shared" si="175"/>
        <v>1</v>
      </c>
      <c r="S356">
        <f t="shared" si="176"/>
        <v>1</v>
      </c>
      <c r="T356" t="str">
        <f>IF(V356="","",IFERROR(VLOOKUP(TRIM($V356),KEY!$B$2:$E$58,2,FALSE),""))</f>
        <v>HY</v>
      </c>
      <c r="V356" s="64" t="s">
        <v>27</v>
      </c>
      <c r="W356" s="64">
        <v>4</v>
      </c>
      <c r="X356" s="64">
        <v>0</v>
      </c>
      <c r="Y356" s="64">
        <v>0</v>
      </c>
      <c r="Z356" s="64">
        <v>0</v>
      </c>
      <c r="AA356" s="64">
        <v>0</v>
      </c>
      <c r="AB356" s="64">
        <v>0</v>
      </c>
      <c r="AC356" s="64">
        <v>0</v>
      </c>
      <c r="AD356" s="64">
        <v>0</v>
      </c>
      <c r="AE356" s="64">
        <v>0</v>
      </c>
      <c r="AF356" s="64">
        <v>0</v>
      </c>
      <c r="AG356" s="64">
        <v>0</v>
      </c>
      <c r="AH356" s="64">
        <v>4</v>
      </c>
      <c r="AI356" s="64">
        <v>1</v>
      </c>
      <c r="AJ356" s="64">
        <v>0</v>
      </c>
      <c r="AK356" s="64">
        <v>0</v>
      </c>
      <c r="AL356" s="64">
        <v>0</v>
      </c>
      <c r="AM356" s="64">
        <v>0</v>
      </c>
    </row>
    <row r="357" spans="2:39" x14ac:dyDescent="0.2">
      <c r="B357" t="str">
        <f t="shared" si="161"/>
        <v>SoCal-7</v>
      </c>
      <c r="C357" t="str">
        <f t="shared" si="162"/>
        <v>Nov 2024-SoCal-7</v>
      </c>
      <c r="D357">
        <f t="shared" si="163"/>
        <v>7</v>
      </c>
      <c r="E357">
        <f t="shared" si="164"/>
        <v>3.06</v>
      </c>
      <c r="F357">
        <f t="shared" si="165"/>
        <v>6</v>
      </c>
      <c r="G357">
        <f t="shared" si="166"/>
        <v>3</v>
      </c>
      <c r="H357" t="str">
        <f>IF(V357="","",IFERROR(VLOOKUP(TRIM($V357),KEY!$B$2:$E$58,3,FALSE),""))</f>
        <v>SoCal</v>
      </c>
      <c r="I357" t="str">
        <f t="shared" si="167"/>
        <v>WEST-25</v>
      </c>
      <c r="J357" t="str">
        <f t="shared" si="168"/>
        <v>Apr 2025-WEST-25</v>
      </c>
      <c r="K357">
        <f t="shared" si="169"/>
        <v>25</v>
      </c>
      <c r="L357">
        <f t="shared" si="170"/>
        <v>4.24</v>
      </c>
      <c r="M357">
        <f>IF(V357="","",IFERROR(VLOOKUP(TRIM($V357),KEY!$B$2:$E$58,4,FALSE),""))</f>
        <v>24</v>
      </c>
      <c r="N357">
        <f t="shared" si="171"/>
        <v>4</v>
      </c>
      <c r="O357" t="str">
        <f t="shared" si="172"/>
        <v>AC-4</v>
      </c>
      <c r="P357">
        <f t="shared" si="173"/>
        <v>4</v>
      </c>
      <c r="Q357">
        <f t="shared" si="174"/>
        <v>1.04</v>
      </c>
      <c r="R357">
        <f t="shared" si="175"/>
        <v>4</v>
      </c>
      <c r="S357">
        <f t="shared" si="176"/>
        <v>1</v>
      </c>
      <c r="T357" t="str">
        <f>IF(V357="","",IFERROR(VLOOKUP(TRIM($V357),KEY!$B$2:$E$58,2,FALSE),""))</f>
        <v>AC</v>
      </c>
      <c r="V357" s="64" t="s">
        <v>73</v>
      </c>
      <c r="W357" s="64">
        <v>7</v>
      </c>
      <c r="X357" s="64">
        <v>0</v>
      </c>
      <c r="Y357" s="64">
        <v>0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0</v>
      </c>
      <c r="AG357" s="64">
        <v>0</v>
      </c>
      <c r="AH357" s="64">
        <v>7</v>
      </c>
      <c r="AI357" s="64">
        <v>1</v>
      </c>
      <c r="AJ357" s="64">
        <v>0</v>
      </c>
      <c r="AK357" s="64">
        <v>0</v>
      </c>
      <c r="AL357" s="64">
        <v>0</v>
      </c>
      <c r="AM357" s="64">
        <v>0</v>
      </c>
    </row>
    <row r="358" spans="2:39" x14ac:dyDescent="0.2">
      <c r="B358" t="str">
        <f t="shared" si="161"/>
        <v>SoCal-8</v>
      </c>
      <c r="C358" t="str">
        <f t="shared" si="162"/>
        <v>Nov 2024-SoCal-8</v>
      </c>
      <c r="D358">
        <f t="shared" si="163"/>
        <v>8</v>
      </c>
      <c r="E358">
        <f t="shared" si="164"/>
        <v>3.07</v>
      </c>
      <c r="F358">
        <f t="shared" si="165"/>
        <v>7</v>
      </c>
      <c r="G358">
        <f t="shared" si="166"/>
        <v>3</v>
      </c>
      <c r="H358" t="str">
        <f>IF(V358="","",IFERROR(VLOOKUP(TRIM($V358),KEY!$B$2:$E$58,3,FALSE),""))</f>
        <v>SoCal</v>
      </c>
      <c r="I358" t="str">
        <f t="shared" si="167"/>
        <v>WEST-26</v>
      </c>
      <c r="J358" t="str">
        <f t="shared" si="168"/>
        <v>Apr 2025-WEST-26</v>
      </c>
      <c r="K358">
        <f t="shared" si="169"/>
        <v>26</v>
      </c>
      <c r="L358">
        <f t="shared" si="170"/>
        <v>4.25</v>
      </c>
      <c r="M358">
        <f>IF(V358="","",IFERROR(VLOOKUP(TRIM($V358),KEY!$B$2:$E$58,4,FALSE),""))</f>
        <v>25</v>
      </c>
      <c r="N358">
        <f t="shared" si="171"/>
        <v>4</v>
      </c>
      <c r="O358" t="str">
        <f t="shared" si="172"/>
        <v>TO-1</v>
      </c>
      <c r="P358">
        <f t="shared" si="173"/>
        <v>1</v>
      </c>
      <c r="Q358">
        <f t="shared" si="174"/>
        <v>1.01</v>
      </c>
      <c r="R358">
        <f t="shared" si="175"/>
        <v>1</v>
      </c>
      <c r="S358">
        <f t="shared" si="176"/>
        <v>1</v>
      </c>
      <c r="T358" t="str">
        <f>IF(V358="","",IFERROR(VLOOKUP(TRIM($V358),KEY!$B$2:$E$58,2,FALSE),""))</f>
        <v>TO</v>
      </c>
      <c r="V358" s="64" t="s">
        <v>49</v>
      </c>
      <c r="W358" s="64">
        <v>19</v>
      </c>
      <c r="X358" s="64">
        <v>0</v>
      </c>
      <c r="Y358" s="64">
        <v>0</v>
      </c>
      <c r="Z358" s="64">
        <v>0</v>
      </c>
      <c r="AA358" s="64">
        <v>0</v>
      </c>
      <c r="AB358" s="64">
        <v>0</v>
      </c>
      <c r="AC358" s="64">
        <v>0</v>
      </c>
      <c r="AD358" s="64">
        <v>0</v>
      </c>
      <c r="AE358" s="64">
        <v>0</v>
      </c>
      <c r="AF358" s="64">
        <v>0</v>
      </c>
      <c r="AG358" s="64">
        <v>0</v>
      </c>
      <c r="AH358" s="64">
        <v>19</v>
      </c>
      <c r="AI358" s="64">
        <v>1</v>
      </c>
      <c r="AJ358" s="64">
        <v>0</v>
      </c>
      <c r="AK358" s="64">
        <v>0</v>
      </c>
      <c r="AL358" s="64">
        <v>0</v>
      </c>
      <c r="AM358" s="64">
        <v>0</v>
      </c>
    </row>
    <row r="359" spans="2:39" x14ac:dyDescent="0.2">
      <c r="B359" t="str">
        <f t="shared" si="161"/>
        <v>AZ-6</v>
      </c>
      <c r="C359" t="str">
        <f t="shared" si="162"/>
        <v>Nov 2024-AZ-6</v>
      </c>
      <c r="D359">
        <f t="shared" si="163"/>
        <v>6</v>
      </c>
      <c r="E359">
        <f t="shared" si="164"/>
        <v>1.06</v>
      </c>
      <c r="F359">
        <f t="shared" si="165"/>
        <v>6</v>
      </c>
      <c r="G359">
        <f t="shared" si="166"/>
        <v>1</v>
      </c>
      <c r="H359" t="str">
        <f>IF(V359="","",IFERROR(VLOOKUP(TRIM($V359),KEY!$B$2:$E$58,3,FALSE),""))</f>
        <v>AZ</v>
      </c>
      <c r="I359" t="str">
        <f t="shared" si="167"/>
        <v>WEST-27</v>
      </c>
      <c r="J359" t="str">
        <f t="shared" si="168"/>
        <v>Apr 2025-WEST-27</v>
      </c>
      <c r="K359">
        <f t="shared" si="169"/>
        <v>27</v>
      </c>
      <c r="L359">
        <f t="shared" si="170"/>
        <v>4.26</v>
      </c>
      <c r="M359">
        <f>IF(V359="","",IFERROR(VLOOKUP(TRIM($V359),KEY!$B$2:$E$58,4,FALSE),""))</f>
        <v>26</v>
      </c>
      <c r="N359">
        <f t="shared" si="171"/>
        <v>4</v>
      </c>
      <c r="O359" t="str">
        <f t="shared" si="172"/>
        <v>LA-1</v>
      </c>
      <c r="P359">
        <f t="shared" si="173"/>
        <v>1</v>
      </c>
      <c r="Q359">
        <f t="shared" si="174"/>
        <v>1.01</v>
      </c>
      <c r="R359">
        <f t="shared" si="175"/>
        <v>1</v>
      </c>
      <c r="S359">
        <f t="shared" si="176"/>
        <v>1</v>
      </c>
      <c r="T359" t="str">
        <f>IF(V359="","",IFERROR(VLOOKUP(TRIM($V359),KEY!$B$2:$E$58,2,FALSE),""))</f>
        <v>LA</v>
      </c>
      <c r="V359" s="64" t="s">
        <v>278</v>
      </c>
      <c r="W359" s="64">
        <v>1</v>
      </c>
      <c r="X359" s="64">
        <v>0</v>
      </c>
      <c r="Y359" s="64">
        <v>0</v>
      </c>
      <c r="Z359" s="64">
        <v>0</v>
      </c>
      <c r="AA359" s="64">
        <v>0</v>
      </c>
      <c r="AB359" s="64">
        <v>0</v>
      </c>
      <c r="AC359" s="64">
        <v>0</v>
      </c>
      <c r="AD359" s="64">
        <v>0</v>
      </c>
      <c r="AE359" s="64">
        <v>0</v>
      </c>
      <c r="AF359" s="64">
        <v>0</v>
      </c>
      <c r="AG359" s="64">
        <v>0</v>
      </c>
      <c r="AH359" s="64">
        <v>1</v>
      </c>
      <c r="AI359" s="64">
        <v>1</v>
      </c>
      <c r="AJ359" s="64">
        <v>0</v>
      </c>
      <c r="AK359" s="64">
        <v>0</v>
      </c>
      <c r="AL359" s="64">
        <v>0</v>
      </c>
      <c r="AM359" s="64">
        <v>0</v>
      </c>
    </row>
    <row r="360" spans="2:39" x14ac:dyDescent="0.2">
      <c r="B360" t="str">
        <f t="shared" si="161"/>
        <v>AZ-7</v>
      </c>
      <c r="C360" t="str">
        <f t="shared" si="162"/>
        <v>Nov 2024-AZ-7</v>
      </c>
      <c r="D360">
        <f t="shared" si="163"/>
        <v>7</v>
      </c>
      <c r="E360">
        <f t="shared" si="164"/>
        <v>1.07</v>
      </c>
      <c r="F360">
        <f t="shared" si="165"/>
        <v>7</v>
      </c>
      <c r="G360">
        <f t="shared" si="166"/>
        <v>1</v>
      </c>
      <c r="H360" t="str">
        <f>IF(V360="","",IFERROR(VLOOKUP(TRIM($V360),KEY!$B$2:$E$58,3,FALSE),""))</f>
        <v>AZ</v>
      </c>
      <c r="I360" t="str">
        <f t="shared" si="167"/>
        <v>WEST-28</v>
      </c>
      <c r="J360" t="str">
        <f t="shared" si="168"/>
        <v>Apr 2025-WEST-28</v>
      </c>
      <c r="K360">
        <f t="shared" si="169"/>
        <v>28</v>
      </c>
      <c r="L360">
        <f t="shared" si="170"/>
        <v>4.2699999999999996</v>
      </c>
      <c r="M360">
        <f>IF(V360="","",IFERROR(VLOOKUP(TRIM($V360),KEY!$B$2:$E$58,4,FALSE),""))</f>
        <v>27</v>
      </c>
      <c r="N360">
        <f t="shared" si="171"/>
        <v>4</v>
      </c>
      <c r="O360" t="str">
        <f t="shared" si="172"/>
        <v>JA-1</v>
      </c>
      <c r="P360">
        <f t="shared" si="173"/>
        <v>1</v>
      </c>
      <c r="Q360">
        <f t="shared" si="174"/>
        <v>1.01</v>
      </c>
      <c r="R360">
        <f t="shared" si="175"/>
        <v>1</v>
      </c>
      <c r="S360">
        <f t="shared" si="176"/>
        <v>1</v>
      </c>
      <c r="T360" t="str">
        <f>IF(V360="","",IFERROR(VLOOKUP(TRIM($V360),KEY!$B$2:$E$58,2,FALSE),""))</f>
        <v>JA</v>
      </c>
      <c r="V360" s="64" t="s">
        <v>261</v>
      </c>
      <c r="W360" s="64">
        <v>5</v>
      </c>
      <c r="X360" s="64">
        <v>0</v>
      </c>
      <c r="Y360" s="64">
        <v>0</v>
      </c>
      <c r="Z360" s="64">
        <v>0</v>
      </c>
      <c r="AA360" s="64">
        <v>0</v>
      </c>
      <c r="AB360" s="64">
        <v>0</v>
      </c>
      <c r="AC360" s="64">
        <v>0</v>
      </c>
      <c r="AD360" s="64">
        <v>0</v>
      </c>
      <c r="AE360" s="64">
        <v>0</v>
      </c>
      <c r="AF360" s="64">
        <v>0</v>
      </c>
      <c r="AG360" s="64">
        <v>0</v>
      </c>
      <c r="AH360" s="64">
        <v>5</v>
      </c>
      <c r="AI360" s="64">
        <v>1</v>
      </c>
      <c r="AJ360" s="64">
        <v>0</v>
      </c>
      <c r="AK360" s="64">
        <v>0</v>
      </c>
      <c r="AL360" s="64">
        <v>0</v>
      </c>
      <c r="AM360" s="64">
        <v>0</v>
      </c>
    </row>
    <row r="361" spans="2:39" x14ac:dyDescent="0.2">
      <c r="B361" t="str">
        <f t="shared" si="161"/>
        <v>AZ-8</v>
      </c>
      <c r="C361" t="str">
        <f t="shared" si="162"/>
        <v>Nov 2024-AZ-8</v>
      </c>
      <c r="D361">
        <f t="shared" si="163"/>
        <v>8</v>
      </c>
      <c r="E361">
        <f t="shared" si="164"/>
        <v>1.08</v>
      </c>
      <c r="F361">
        <f t="shared" si="165"/>
        <v>8</v>
      </c>
      <c r="G361">
        <f t="shared" si="166"/>
        <v>1</v>
      </c>
      <c r="H361" t="str">
        <f>IF(V361="","",IFERROR(VLOOKUP(TRIM($V361),KEY!$B$2:$E$58,3,FALSE),""))</f>
        <v>AZ</v>
      </c>
      <c r="I361" t="str">
        <f t="shared" si="167"/>
        <v>WEST-29</v>
      </c>
      <c r="J361" t="str">
        <f t="shared" si="168"/>
        <v>Apr 2025-WEST-29</v>
      </c>
      <c r="K361">
        <f t="shared" si="169"/>
        <v>29</v>
      </c>
      <c r="L361">
        <f t="shared" si="170"/>
        <v>4.28</v>
      </c>
      <c r="M361">
        <f>IF(V361="","",IFERROR(VLOOKUP(TRIM($V361),KEY!$B$2:$E$58,4,FALSE),""))</f>
        <v>28</v>
      </c>
      <c r="N361">
        <f t="shared" si="171"/>
        <v>4</v>
      </c>
      <c r="O361" t="str">
        <f t="shared" si="172"/>
        <v>JA-2</v>
      </c>
      <c r="P361">
        <f t="shared" si="173"/>
        <v>2</v>
      </c>
      <c r="Q361">
        <f t="shared" si="174"/>
        <v>1.02</v>
      </c>
      <c r="R361">
        <f t="shared" si="175"/>
        <v>2</v>
      </c>
      <c r="S361">
        <f t="shared" si="176"/>
        <v>1</v>
      </c>
      <c r="T361" t="str">
        <f>IF(V361="","",IFERROR(VLOOKUP(TRIM($V361),KEY!$B$2:$E$58,2,FALSE),""))</f>
        <v>JA</v>
      </c>
      <c r="V361" s="64" t="s">
        <v>260</v>
      </c>
      <c r="W361" s="64">
        <v>3</v>
      </c>
      <c r="X361" s="64">
        <v>0</v>
      </c>
      <c r="Y361" s="64">
        <v>0</v>
      </c>
      <c r="Z361" s="64">
        <v>0</v>
      </c>
      <c r="AA361" s="64">
        <v>0</v>
      </c>
      <c r="AB361" s="64">
        <v>0</v>
      </c>
      <c r="AC361" s="64">
        <v>0</v>
      </c>
      <c r="AD361" s="64">
        <v>0</v>
      </c>
      <c r="AE361" s="64">
        <v>0</v>
      </c>
      <c r="AF361" s="64">
        <v>0</v>
      </c>
      <c r="AG361" s="64">
        <v>0</v>
      </c>
      <c r="AH361" s="64">
        <v>3</v>
      </c>
      <c r="AI361" s="64">
        <v>1</v>
      </c>
      <c r="AJ361" s="64">
        <v>0</v>
      </c>
      <c r="AK361" s="64">
        <v>0</v>
      </c>
      <c r="AL361" s="64">
        <v>0</v>
      </c>
      <c r="AM361" s="64">
        <v>0</v>
      </c>
    </row>
    <row r="362" spans="2:39" x14ac:dyDescent="0.2">
      <c r="B362" t="str">
        <f t="shared" si="161"/>
        <v>TX-5</v>
      </c>
      <c r="C362" t="str">
        <f t="shared" si="162"/>
        <v>Nov 2024-TX-5</v>
      </c>
      <c r="D362">
        <f t="shared" si="163"/>
        <v>5</v>
      </c>
      <c r="E362">
        <f t="shared" si="164"/>
        <v>1.05</v>
      </c>
      <c r="F362">
        <f t="shared" si="165"/>
        <v>5</v>
      </c>
      <c r="G362">
        <f t="shared" si="166"/>
        <v>1</v>
      </c>
      <c r="H362" t="str">
        <f>IF(V362="","",IFERROR(VLOOKUP(TRIM($V362),KEY!$B$2:$E$58,3,FALSE),""))</f>
        <v>TX</v>
      </c>
      <c r="I362" t="str">
        <f t="shared" si="167"/>
        <v>WEST-30</v>
      </c>
      <c r="J362" t="str">
        <f t="shared" si="168"/>
        <v>Apr 2025-WEST-30</v>
      </c>
      <c r="K362">
        <f t="shared" si="169"/>
        <v>30</v>
      </c>
      <c r="L362">
        <f t="shared" si="170"/>
        <v>4.29</v>
      </c>
      <c r="M362">
        <f>IF(V362="","",IFERROR(VLOOKUP(TRIM($V362),KEY!$B$2:$E$58,4,FALSE),""))</f>
        <v>29</v>
      </c>
      <c r="N362">
        <f t="shared" si="171"/>
        <v>4</v>
      </c>
      <c r="O362" t="str">
        <f t="shared" si="172"/>
        <v>LE-1</v>
      </c>
      <c r="P362">
        <f t="shared" si="173"/>
        <v>1</v>
      </c>
      <c r="Q362">
        <f t="shared" si="174"/>
        <v>1.01</v>
      </c>
      <c r="R362">
        <f t="shared" si="175"/>
        <v>1</v>
      </c>
      <c r="S362">
        <f t="shared" si="176"/>
        <v>1</v>
      </c>
      <c r="T362" t="str">
        <f>IF(V362="","",IFERROR(VLOOKUP(TRIM($V362),KEY!$B$2:$E$58,2,FALSE),""))</f>
        <v>LE</v>
      </c>
      <c r="V362" s="64" t="s">
        <v>29</v>
      </c>
      <c r="W362" s="64">
        <v>17</v>
      </c>
      <c r="X362" s="64">
        <v>0</v>
      </c>
      <c r="Y362" s="64">
        <v>0</v>
      </c>
      <c r="Z362" s="64">
        <v>0</v>
      </c>
      <c r="AA362" s="64">
        <v>0</v>
      </c>
      <c r="AB362" s="64">
        <v>0</v>
      </c>
      <c r="AC362" s="64">
        <v>0</v>
      </c>
      <c r="AD362" s="64">
        <v>0</v>
      </c>
      <c r="AE362" s="64">
        <v>0</v>
      </c>
      <c r="AF362" s="64">
        <v>0</v>
      </c>
      <c r="AG362" s="64">
        <v>0</v>
      </c>
      <c r="AH362" s="64">
        <v>17</v>
      </c>
      <c r="AI362" s="64">
        <v>1</v>
      </c>
      <c r="AJ362" s="64">
        <v>0</v>
      </c>
      <c r="AK362" s="64">
        <v>0</v>
      </c>
      <c r="AL362" s="64">
        <v>0</v>
      </c>
      <c r="AM362" s="64">
        <v>0</v>
      </c>
    </row>
    <row r="363" spans="2:39" x14ac:dyDescent="0.2">
      <c r="B363" t="str">
        <f t="shared" si="161"/>
        <v>AZ-9</v>
      </c>
      <c r="C363" t="str">
        <f t="shared" si="162"/>
        <v>Nov 2024-AZ-9</v>
      </c>
      <c r="D363">
        <f t="shared" si="163"/>
        <v>9</v>
      </c>
      <c r="E363">
        <f t="shared" si="164"/>
        <v>1.0900000000000001</v>
      </c>
      <c r="F363">
        <f t="shared" si="165"/>
        <v>9</v>
      </c>
      <c r="G363">
        <f t="shared" si="166"/>
        <v>1</v>
      </c>
      <c r="H363" t="str">
        <f>IF(V363="","",IFERROR(VLOOKUP(TRIM($V363),KEY!$B$2:$E$58,3,FALSE),""))</f>
        <v>AZ</v>
      </c>
      <c r="I363" t="str">
        <f t="shared" si="167"/>
        <v>WEST-31</v>
      </c>
      <c r="J363" t="str">
        <f t="shared" si="168"/>
        <v>Apr 2025-WEST-31</v>
      </c>
      <c r="K363">
        <f t="shared" si="169"/>
        <v>31</v>
      </c>
      <c r="L363">
        <f t="shared" si="170"/>
        <v>4.3</v>
      </c>
      <c r="M363">
        <f>IF(V363="","",IFERROR(VLOOKUP(TRIM($V363),KEY!$B$2:$E$58,4,FALSE),""))</f>
        <v>30</v>
      </c>
      <c r="N363">
        <f t="shared" si="171"/>
        <v>4</v>
      </c>
      <c r="O363" t="str">
        <f t="shared" si="172"/>
        <v>LE-2</v>
      </c>
      <c r="P363">
        <f t="shared" si="173"/>
        <v>2</v>
      </c>
      <c r="Q363">
        <f t="shared" si="174"/>
        <v>1.02</v>
      </c>
      <c r="R363">
        <f t="shared" si="175"/>
        <v>2</v>
      </c>
      <c r="S363">
        <f t="shared" si="176"/>
        <v>1</v>
      </c>
      <c r="T363" t="str">
        <f>IF(V363="","",IFERROR(VLOOKUP(TRIM($V363),KEY!$B$2:$E$58,2,FALSE),""))</f>
        <v>LE</v>
      </c>
      <c r="V363" s="64" t="s">
        <v>30</v>
      </c>
      <c r="W363" s="64">
        <v>4</v>
      </c>
      <c r="X363" s="64">
        <v>0</v>
      </c>
      <c r="Y363" s="64">
        <v>0</v>
      </c>
      <c r="Z363" s="64">
        <v>0</v>
      </c>
      <c r="AA363" s="64">
        <v>0</v>
      </c>
      <c r="AB363" s="64">
        <v>0</v>
      </c>
      <c r="AC363" s="64">
        <v>0</v>
      </c>
      <c r="AD363" s="64">
        <v>0</v>
      </c>
      <c r="AE363" s="64">
        <v>0</v>
      </c>
      <c r="AF363" s="64">
        <v>0</v>
      </c>
      <c r="AG363" s="64">
        <v>0</v>
      </c>
      <c r="AH363" s="64">
        <v>4</v>
      </c>
      <c r="AI363" s="64">
        <v>1</v>
      </c>
      <c r="AJ363" s="64">
        <v>0</v>
      </c>
      <c r="AK363" s="64">
        <v>0</v>
      </c>
      <c r="AL363" s="64">
        <v>0</v>
      </c>
      <c r="AM363" s="64">
        <v>0</v>
      </c>
    </row>
    <row r="364" spans="2:39" x14ac:dyDescent="0.2">
      <c r="B364" t="str">
        <f t="shared" si="161"/>
        <v>TX-6</v>
      </c>
      <c r="C364" t="str">
        <f t="shared" si="162"/>
        <v>Nov 2024-TX-6</v>
      </c>
      <c r="D364">
        <f t="shared" si="163"/>
        <v>6</v>
      </c>
      <c r="E364">
        <f t="shared" si="164"/>
        <v>1.06</v>
      </c>
      <c r="F364">
        <f t="shared" si="165"/>
        <v>6</v>
      </c>
      <c r="G364">
        <f t="shared" si="166"/>
        <v>1</v>
      </c>
      <c r="H364" t="str">
        <f>IF(V364="","",IFERROR(VLOOKUP(TRIM($V364),KEY!$B$2:$E$58,3,FALSE),""))</f>
        <v>TX</v>
      </c>
      <c r="I364" t="str">
        <f t="shared" si="167"/>
        <v>WEST-32</v>
      </c>
      <c r="J364" t="str">
        <f t="shared" si="168"/>
        <v>Apr 2025-WEST-32</v>
      </c>
      <c r="K364">
        <f t="shared" si="169"/>
        <v>32</v>
      </c>
      <c r="L364">
        <f t="shared" si="170"/>
        <v>4.3099999999999996</v>
      </c>
      <c r="M364">
        <f>IF(V364="","",IFERROR(VLOOKUP(TRIM($V364),KEY!$B$2:$E$58,4,FALSE),""))</f>
        <v>31</v>
      </c>
      <c r="N364">
        <f t="shared" si="171"/>
        <v>4</v>
      </c>
      <c r="O364" t="str">
        <f t="shared" si="172"/>
        <v>LE-3</v>
      </c>
      <c r="P364">
        <f t="shared" si="173"/>
        <v>3</v>
      </c>
      <c r="Q364">
        <f t="shared" si="174"/>
        <v>1.03</v>
      </c>
      <c r="R364">
        <f t="shared" si="175"/>
        <v>3</v>
      </c>
      <c r="S364">
        <f t="shared" si="176"/>
        <v>1</v>
      </c>
      <c r="T364" t="str">
        <f>IF(V364="","",IFERROR(VLOOKUP(TRIM($V364),KEY!$B$2:$E$58,2,FALSE),""))</f>
        <v>LE</v>
      </c>
      <c r="V364" s="64" t="s">
        <v>31</v>
      </c>
      <c r="W364" s="64">
        <v>13</v>
      </c>
      <c r="X364" s="64">
        <v>0</v>
      </c>
      <c r="Y364" s="64">
        <v>0</v>
      </c>
      <c r="Z364" s="64">
        <v>0</v>
      </c>
      <c r="AA364" s="64">
        <v>0</v>
      </c>
      <c r="AB364" s="64">
        <v>0</v>
      </c>
      <c r="AC364" s="64">
        <v>0</v>
      </c>
      <c r="AD364" s="64">
        <v>0</v>
      </c>
      <c r="AE364" s="64">
        <v>0</v>
      </c>
      <c r="AF364" s="64">
        <v>0</v>
      </c>
      <c r="AG364" s="64">
        <v>0</v>
      </c>
      <c r="AH364" s="64">
        <v>13</v>
      </c>
      <c r="AI364" s="64">
        <v>1</v>
      </c>
      <c r="AJ364" s="64">
        <v>0</v>
      </c>
      <c r="AK364" s="64">
        <v>0</v>
      </c>
      <c r="AL364" s="64">
        <v>0</v>
      </c>
      <c r="AM364" s="64">
        <v>0</v>
      </c>
    </row>
    <row r="365" spans="2:39" x14ac:dyDescent="0.2">
      <c r="B365" t="str">
        <f t="shared" si="161"/>
        <v>SoCal-9</v>
      </c>
      <c r="C365" t="str">
        <f t="shared" si="162"/>
        <v>Nov 2024-SoCal-9</v>
      </c>
      <c r="D365">
        <f t="shared" si="163"/>
        <v>9</v>
      </c>
      <c r="E365">
        <f t="shared" si="164"/>
        <v>3.08</v>
      </c>
      <c r="F365">
        <f t="shared" si="165"/>
        <v>8</v>
      </c>
      <c r="G365">
        <f t="shared" si="166"/>
        <v>3</v>
      </c>
      <c r="H365" t="str">
        <f>IF(V365="","",IFERROR(VLOOKUP(TRIM($V365),KEY!$B$2:$E$58,3,FALSE),""))</f>
        <v>SoCal</v>
      </c>
      <c r="I365" t="str">
        <f t="shared" si="167"/>
        <v>WEST-33</v>
      </c>
      <c r="J365" t="str">
        <f t="shared" si="168"/>
        <v>Apr 2025-WEST-33</v>
      </c>
      <c r="K365">
        <f t="shared" si="169"/>
        <v>33</v>
      </c>
      <c r="L365">
        <f t="shared" si="170"/>
        <v>4.32</v>
      </c>
      <c r="M365">
        <f>IF(V365="","",IFERROR(VLOOKUP(TRIM($V365),KEY!$B$2:$E$58,4,FALSE),""))</f>
        <v>32</v>
      </c>
      <c r="N365">
        <f t="shared" si="171"/>
        <v>4</v>
      </c>
      <c r="O365" t="str">
        <f t="shared" si="172"/>
        <v>LE-4</v>
      </c>
      <c r="P365">
        <f t="shared" si="173"/>
        <v>4</v>
      </c>
      <c r="Q365">
        <f t="shared" si="174"/>
        <v>1.04</v>
      </c>
      <c r="R365">
        <f t="shared" si="175"/>
        <v>4</v>
      </c>
      <c r="S365">
        <f t="shared" si="176"/>
        <v>1</v>
      </c>
      <c r="T365" t="str">
        <f>IF(V365="","",IFERROR(VLOOKUP(TRIM($V365),KEY!$B$2:$E$58,2,FALSE),""))</f>
        <v>LE</v>
      </c>
      <c r="V365" s="64" t="s">
        <v>32</v>
      </c>
      <c r="W365" s="64">
        <v>16</v>
      </c>
      <c r="X365" s="64">
        <v>0</v>
      </c>
      <c r="Y365" s="64">
        <v>0</v>
      </c>
      <c r="Z365" s="64">
        <v>0</v>
      </c>
      <c r="AA365" s="64">
        <v>0</v>
      </c>
      <c r="AB365" s="64">
        <v>0</v>
      </c>
      <c r="AC365" s="64">
        <v>0</v>
      </c>
      <c r="AD365" s="64">
        <v>0</v>
      </c>
      <c r="AE365" s="64">
        <v>0</v>
      </c>
      <c r="AF365" s="64">
        <v>0</v>
      </c>
      <c r="AG365" s="64">
        <v>0</v>
      </c>
      <c r="AH365" s="64">
        <v>16</v>
      </c>
      <c r="AI365" s="64">
        <v>1</v>
      </c>
      <c r="AJ365" s="64">
        <v>0</v>
      </c>
      <c r="AK365" s="64">
        <v>0</v>
      </c>
      <c r="AL365" s="64">
        <v>0</v>
      </c>
      <c r="AM365" s="64">
        <v>0</v>
      </c>
    </row>
    <row r="366" spans="2:39" x14ac:dyDescent="0.2">
      <c r="B366" t="str">
        <f t="shared" si="161"/>
        <v>OC-2</v>
      </c>
      <c r="C366" t="str">
        <f t="shared" si="162"/>
        <v>Nov 2024-OC-2</v>
      </c>
      <c r="D366">
        <f t="shared" si="163"/>
        <v>2</v>
      </c>
      <c r="E366">
        <f t="shared" si="164"/>
        <v>1.06</v>
      </c>
      <c r="F366">
        <f t="shared" si="165"/>
        <v>6</v>
      </c>
      <c r="G366">
        <f t="shared" si="166"/>
        <v>1</v>
      </c>
      <c r="H366" t="str">
        <f>IF(V366="","",IFERROR(VLOOKUP(TRIM($V366),KEY!$B$2:$E$58,3,FALSE),""))</f>
        <v>OC</v>
      </c>
      <c r="I366" t="str">
        <f t="shared" si="167"/>
        <v>WEST--</v>
      </c>
      <c r="J366" t="str">
        <f t="shared" si="168"/>
        <v>Apr 2025-WEST--</v>
      </c>
      <c r="K366" t="str">
        <f t="shared" si="169"/>
        <v>-</v>
      </c>
      <c r="L366" t="str">
        <f t="shared" si="170"/>
        <v>-</v>
      </c>
      <c r="M366">
        <f>IF(V366="","",IFERROR(VLOOKUP(TRIM($V366),KEY!$B$2:$E$58,4,FALSE),""))</f>
        <v>33</v>
      </c>
      <c r="N366" t="str">
        <f t="shared" si="171"/>
        <v>-</v>
      </c>
      <c r="O366" t="str">
        <f t="shared" si="172"/>
        <v>LI-1</v>
      </c>
      <c r="P366">
        <f t="shared" si="173"/>
        <v>1</v>
      </c>
      <c r="Q366">
        <f t="shared" si="174"/>
        <v>1.01</v>
      </c>
      <c r="R366">
        <f t="shared" si="175"/>
        <v>1</v>
      </c>
      <c r="S366">
        <f t="shared" si="176"/>
        <v>1</v>
      </c>
      <c r="T366" t="str">
        <f>IF(V366="","",IFERROR(VLOOKUP(TRIM($V366),KEY!$B$2:$E$58,2,FALSE),""))</f>
        <v>LI</v>
      </c>
      <c r="V366" s="64" t="s">
        <v>33</v>
      </c>
      <c r="W366" s="64">
        <v>0</v>
      </c>
      <c r="X366" s="64">
        <v>0</v>
      </c>
      <c r="Y366" s="64" t="s">
        <v>274</v>
      </c>
      <c r="Z366" s="64">
        <v>0</v>
      </c>
      <c r="AA366" s="64">
        <v>0</v>
      </c>
      <c r="AB366" s="64">
        <v>0</v>
      </c>
      <c r="AC366" s="64">
        <v>0</v>
      </c>
      <c r="AD366" s="64">
        <v>0</v>
      </c>
      <c r="AE366" s="64" t="s">
        <v>274</v>
      </c>
      <c r="AF366" s="64">
        <v>0</v>
      </c>
      <c r="AG366" s="64">
        <v>0</v>
      </c>
      <c r="AH366" s="64">
        <v>0</v>
      </c>
      <c r="AI366" s="64" t="s">
        <v>274</v>
      </c>
      <c r="AJ366" s="64">
        <v>0</v>
      </c>
      <c r="AK366" s="64">
        <v>0</v>
      </c>
      <c r="AL366" s="64">
        <v>0</v>
      </c>
      <c r="AM366" s="64" t="s">
        <v>274</v>
      </c>
    </row>
    <row r="367" spans="2:39" x14ac:dyDescent="0.2">
      <c r="B367" t="str">
        <f t="shared" si="161"/>
        <v>SoCal-10</v>
      </c>
      <c r="C367" t="str">
        <f t="shared" si="162"/>
        <v>Nov 2024-SoCal-10</v>
      </c>
      <c r="D367">
        <f t="shared" si="163"/>
        <v>10</v>
      </c>
      <c r="E367">
        <f t="shared" si="164"/>
        <v>3.09</v>
      </c>
      <c r="F367">
        <f t="shared" si="165"/>
        <v>9</v>
      </c>
      <c r="G367">
        <f t="shared" si="166"/>
        <v>3</v>
      </c>
      <c r="H367" t="str">
        <f>IF(V367="","",IFERROR(VLOOKUP(TRIM($V367),KEY!$B$2:$E$58,3,FALSE),""))</f>
        <v>SoCal</v>
      </c>
      <c r="I367" t="str">
        <f t="shared" si="167"/>
        <v>WEST-34</v>
      </c>
      <c r="J367" t="str">
        <f t="shared" si="168"/>
        <v>Apr 2025-WEST-34</v>
      </c>
      <c r="K367">
        <f t="shared" si="169"/>
        <v>34</v>
      </c>
      <c r="L367">
        <f t="shared" si="170"/>
        <v>4.34</v>
      </c>
      <c r="M367">
        <f>IF(V367="","",IFERROR(VLOOKUP(TRIM($V367),KEY!$B$2:$E$58,4,FALSE),""))</f>
        <v>34</v>
      </c>
      <c r="N367">
        <f t="shared" si="171"/>
        <v>4</v>
      </c>
      <c r="O367" t="str">
        <f t="shared" si="172"/>
        <v>MA-1</v>
      </c>
      <c r="P367">
        <f t="shared" si="173"/>
        <v>1</v>
      </c>
      <c r="Q367">
        <f t="shared" si="174"/>
        <v>1.01</v>
      </c>
      <c r="R367">
        <f t="shared" si="175"/>
        <v>1</v>
      </c>
      <c r="S367">
        <f t="shared" si="176"/>
        <v>1</v>
      </c>
      <c r="T367" t="str">
        <f>IF(V367="","",IFERROR(VLOOKUP(TRIM($V367),KEY!$B$2:$E$58,2,FALSE),""))</f>
        <v>MA</v>
      </c>
      <c r="V367" s="64" t="s">
        <v>34</v>
      </c>
      <c r="W367" s="64">
        <v>16</v>
      </c>
      <c r="X367" s="64">
        <v>0</v>
      </c>
      <c r="Y367" s="64">
        <v>0</v>
      </c>
      <c r="Z367" s="64">
        <v>0</v>
      </c>
      <c r="AA367" s="64">
        <v>0</v>
      </c>
      <c r="AB367" s="64">
        <v>0</v>
      </c>
      <c r="AC367" s="64">
        <v>0</v>
      </c>
      <c r="AD367" s="64">
        <v>0</v>
      </c>
      <c r="AE367" s="64">
        <v>0</v>
      </c>
      <c r="AF367" s="64">
        <v>0</v>
      </c>
      <c r="AG367" s="64">
        <v>0</v>
      </c>
      <c r="AH367" s="64">
        <v>16</v>
      </c>
      <c r="AI367" s="64">
        <v>1</v>
      </c>
      <c r="AJ367" s="64">
        <v>0</v>
      </c>
      <c r="AK367" s="64">
        <v>0</v>
      </c>
      <c r="AL367" s="64">
        <v>0</v>
      </c>
      <c r="AM367" s="64">
        <v>0</v>
      </c>
    </row>
    <row r="368" spans="2:39" x14ac:dyDescent="0.2">
      <c r="B368" t="str">
        <f t="shared" si="161"/>
        <v>AZ-10</v>
      </c>
      <c r="C368" t="str">
        <f t="shared" si="162"/>
        <v>Nov 2024-AZ-10</v>
      </c>
      <c r="D368">
        <f t="shared" si="163"/>
        <v>10</v>
      </c>
      <c r="E368">
        <f t="shared" si="164"/>
        <v>1.1000000000000001</v>
      </c>
      <c r="F368">
        <f t="shared" si="165"/>
        <v>10</v>
      </c>
      <c r="G368">
        <f t="shared" si="166"/>
        <v>1</v>
      </c>
      <c r="H368" t="str">
        <f>IF(V368="","",IFERROR(VLOOKUP(TRIM($V368),KEY!$B$2:$E$58,3,FALSE),""))</f>
        <v>AZ</v>
      </c>
      <c r="I368" t="str">
        <f t="shared" si="167"/>
        <v>WEST-35</v>
      </c>
      <c r="J368" t="str">
        <f t="shared" si="168"/>
        <v>Apr 2025-WEST-35</v>
      </c>
      <c r="K368">
        <f t="shared" si="169"/>
        <v>35</v>
      </c>
      <c r="L368">
        <f t="shared" si="170"/>
        <v>4.3499999999999996</v>
      </c>
      <c r="M368">
        <f>IF(V368="","",IFERROR(VLOOKUP(TRIM($V368),KEY!$B$2:$E$58,4,FALSE),""))</f>
        <v>35</v>
      </c>
      <c r="N368">
        <f t="shared" si="171"/>
        <v>4</v>
      </c>
      <c r="O368" t="str">
        <f t="shared" si="172"/>
        <v>MB-2</v>
      </c>
      <c r="P368">
        <f t="shared" si="173"/>
        <v>2</v>
      </c>
      <c r="Q368">
        <f t="shared" si="174"/>
        <v>2.0099999999999998</v>
      </c>
      <c r="R368">
        <f t="shared" si="175"/>
        <v>1</v>
      </c>
      <c r="S368">
        <f t="shared" si="176"/>
        <v>2</v>
      </c>
      <c r="T368" t="str">
        <f>IF(V368="","",IFERROR(VLOOKUP(TRIM($V368),KEY!$B$2:$E$58,2,FALSE),""))</f>
        <v>MB</v>
      </c>
      <c r="V368" s="64" t="s">
        <v>35</v>
      </c>
      <c r="W368" s="64">
        <v>6</v>
      </c>
      <c r="X368" s="64">
        <v>0</v>
      </c>
      <c r="Y368" s="64">
        <v>0</v>
      </c>
      <c r="Z368" s="64">
        <v>0</v>
      </c>
      <c r="AA368" s="64">
        <v>0</v>
      </c>
      <c r="AB368" s="64">
        <v>0</v>
      </c>
      <c r="AC368" s="64">
        <v>0</v>
      </c>
      <c r="AD368" s="64">
        <v>0</v>
      </c>
      <c r="AE368" s="64">
        <v>0</v>
      </c>
      <c r="AF368" s="64">
        <v>6</v>
      </c>
      <c r="AG368" s="64">
        <v>0</v>
      </c>
      <c r="AH368" s="64">
        <v>0</v>
      </c>
      <c r="AI368" s="64">
        <v>1</v>
      </c>
      <c r="AJ368" s="64">
        <v>0</v>
      </c>
      <c r="AK368" s="64">
        <v>0</v>
      </c>
      <c r="AL368" s="64">
        <v>0</v>
      </c>
      <c r="AM368" s="64">
        <v>0</v>
      </c>
    </row>
    <row r="369" spans="2:39" x14ac:dyDescent="0.2">
      <c r="B369" t="str">
        <f t="shared" si="161"/>
        <v>AZ-11</v>
      </c>
      <c r="C369" t="str">
        <f t="shared" si="162"/>
        <v>Nov 2024-AZ-11</v>
      </c>
      <c r="D369">
        <f t="shared" si="163"/>
        <v>11</v>
      </c>
      <c r="E369">
        <f t="shared" si="164"/>
        <v>1.1100000000000001</v>
      </c>
      <c r="F369">
        <f t="shared" si="165"/>
        <v>11</v>
      </c>
      <c r="G369">
        <f t="shared" si="166"/>
        <v>1</v>
      </c>
      <c r="H369" t="str">
        <f>IF(V369="","",IFERROR(VLOOKUP(TRIM($V369),KEY!$B$2:$E$58,3,FALSE),""))</f>
        <v>AZ</v>
      </c>
      <c r="I369" t="str">
        <f t="shared" si="167"/>
        <v>WEST-36</v>
      </c>
      <c r="J369" t="str">
        <f t="shared" si="168"/>
        <v>Apr 2025-WEST-36</v>
      </c>
      <c r="K369">
        <f t="shared" si="169"/>
        <v>36</v>
      </c>
      <c r="L369">
        <f t="shared" si="170"/>
        <v>4.3600000000000003</v>
      </c>
      <c r="M369">
        <f>IF(V369="","",IFERROR(VLOOKUP(TRIM($V369),KEY!$B$2:$E$58,4,FALSE),""))</f>
        <v>36</v>
      </c>
      <c r="N369">
        <f t="shared" si="171"/>
        <v>4</v>
      </c>
      <c r="O369" t="str">
        <f t="shared" si="172"/>
        <v>MB-3</v>
      </c>
      <c r="P369">
        <f t="shared" si="173"/>
        <v>3</v>
      </c>
      <c r="Q369">
        <f t="shared" si="174"/>
        <v>2.02</v>
      </c>
      <c r="R369">
        <f t="shared" si="175"/>
        <v>2</v>
      </c>
      <c r="S369">
        <f t="shared" si="176"/>
        <v>2</v>
      </c>
      <c r="T369" t="str">
        <f>IF(V369="","",IFERROR(VLOOKUP(TRIM($V369),KEY!$B$2:$E$58,2,FALSE),""))</f>
        <v>MB</v>
      </c>
      <c r="V369" s="64" t="s">
        <v>270</v>
      </c>
      <c r="W369" s="64">
        <v>13</v>
      </c>
      <c r="X369" s="64">
        <v>0</v>
      </c>
      <c r="Y369" s="64">
        <v>0</v>
      </c>
      <c r="Z369" s="64">
        <v>0</v>
      </c>
      <c r="AA369" s="64">
        <v>0</v>
      </c>
      <c r="AB369" s="64">
        <v>0</v>
      </c>
      <c r="AC369" s="64">
        <v>0</v>
      </c>
      <c r="AD369" s="64">
        <v>0</v>
      </c>
      <c r="AE369" s="64">
        <v>0</v>
      </c>
      <c r="AF369" s="64">
        <v>0</v>
      </c>
      <c r="AG369" s="64">
        <v>0</v>
      </c>
      <c r="AH369" s="64">
        <v>13</v>
      </c>
      <c r="AI369" s="64">
        <v>1</v>
      </c>
      <c r="AJ369" s="64">
        <v>0</v>
      </c>
      <c r="AK369" s="64">
        <v>0</v>
      </c>
      <c r="AL369" s="64">
        <v>0</v>
      </c>
      <c r="AM369" s="64">
        <v>0</v>
      </c>
    </row>
    <row r="370" spans="2:39" x14ac:dyDescent="0.2">
      <c r="B370" t="str">
        <f t="shared" si="161"/>
        <v>SoCal-1</v>
      </c>
      <c r="C370" t="str">
        <f t="shared" si="162"/>
        <v>Nov 2024-SoCal-1</v>
      </c>
      <c r="D370">
        <f t="shared" si="163"/>
        <v>1</v>
      </c>
      <c r="E370">
        <f t="shared" si="164"/>
        <v>1.1000000000000001</v>
      </c>
      <c r="F370">
        <f t="shared" si="165"/>
        <v>10</v>
      </c>
      <c r="G370">
        <f t="shared" si="166"/>
        <v>1</v>
      </c>
      <c r="H370" t="str">
        <f>IF(V370="","",IFERROR(VLOOKUP(TRIM($V370),KEY!$B$2:$E$58,3,FALSE),""))</f>
        <v>SoCal</v>
      </c>
      <c r="I370" t="str">
        <f t="shared" si="167"/>
        <v>WEST-1</v>
      </c>
      <c r="J370" t="str">
        <f t="shared" si="168"/>
        <v>Apr 2025-WEST-1</v>
      </c>
      <c r="K370">
        <f t="shared" si="169"/>
        <v>1</v>
      </c>
      <c r="L370">
        <f t="shared" si="170"/>
        <v>1.37</v>
      </c>
      <c r="M370">
        <f>IF(V370="","",IFERROR(VLOOKUP(TRIM($V370),KEY!$B$2:$E$58,4,FALSE),""))</f>
        <v>37</v>
      </c>
      <c r="N370">
        <f t="shared" si="171"/>
        <v>1</v>
      </c>
      <c r="O370" t="str">
        <f t="shared" si="172"/>
        <v>MB-1</v>
      </c>
      <c r="P370">
        <f t="shared" si="173"/>
        <v>1</v>
      </c>
      <c r="Q370">
        <f t="shared" si="174"/>
        <v>1.03</v>
      </c>
      <c r="R370">
        <f t="shared" si="175"/>
        <v>3</v>
      </c>
      <c r="S370">
        <f t="shared" si="176"/>
        <v>1</v>
      </c>
      <c r="T370" t="str">
        <f>IF(V370="","",IFERROR(VLOOKUP(TRIM($V370),KEY!$B$2:$E$58,2,FALSE),""))</f>
        <v>MB</v>
      </c>
      <c r="V370" s="64" t="s">
        <v>36</v>
      </c>
      <c r="W370" s="64">
        <v>44</v>
      </c>
      <c r="X370" s="64">
        <v>5</v>
      </c>
      <c r="Y370" s="64">
        <v>0.11363636363636363</v>
      </c>
      <c r="Z370" s="64">
        <v>0</v>
      </c>
      <c r="AA370" s="64">
        <v>5</v>
      </c>
      <c r="AB370" s="64">
        <v>0</v>
      </c>
      <c r="AC370" s="64">
        <v>0</v>
      </c>
      <c r="AD370" s="64">
        <v>5</v>
      </c>
      <c r="AE370" s="64">
        <v>0.11363636363636363</v>
      </c>
      <c r="AF370" s="64">
        <v>3</v>
      </c>
      <c r="AG370" s="64">
        <v>0</v>
      </c>
      <c r="AH370" s="64">
        <v>36</v>
      </c>
      <c r="AI370" s="64">
        <v>0.88636363636363635</v>
      </c>
      <c r="AJ370" s="64">
        <v>0</v>
      </c>
      <c r="AK370" s="64">
        <v>0</v>
      </c>
      <c r="AL370" s="64">
        <v>0</v>
      </c>
      <c r="AM370" s="64">
        <v>0</v>
      </c>
    </row>
    <row r="371" spans="2:39" x14ac:dyDescent="0.2">
      <c r="B371" t="str">
        <f t="shared" si="161"/>
        <v>AZ-12</v>
      </c>
      <c r="C371" t="str">
        <f t="shared" si="162"/>
        <v>Nov 2024-AZ-12</v>
      </c>
      <c r="D371">
        <f t="shared" si="163"/>
        <v>12</v>
      </c>
      <c r="E371">
        <f t="shared" si="164"/>
        <v>1.1200000000000001</v>
      </c>
      <c r="F371">
        <f t="shared" si="165"/>
        <v>12</v>
      </c>
      <c r="G371">
        <f t="shared" si="166"/>
        <v>1</v>
      </c>
      <c r="H371" t="str">
        <f>IF(V371="","",IFERROR(VLOOKUP(TRIM($V371),KEY!$B$2:$E$58,3,FALSE),""))</f>
        <v>AZ</v>
      </c>
      <c r="I371" t="str">
        <f t="shared" si="167"/>
        <v>WEST-37</v>
      </c>
      <c r="J371" t="str">
        <f t="shared" si="168"/>
        <v>Apr 2025-WEST-37</v>
      </c>
      <c r="K371">
        <f t="shared" si="169"/>
        <v>37</v>
      </c>
      <c r="L371">
        <f t="shared" si="170"/>
        <v>4.38</v>
      </c>
      <c r="M371">
        <f>IF(V371="","",IFERROR(VLOOKUP(TRIM($V371),KEY!$B$2:$E$58,4,FALSE),""))</f>
        <v>38</v>
      </c>
      <c r="N371">
        <f t="shared" si="171"/>
        <v>4</v>
      </c>
      <c r="O371" t="str">
        <f t="shared" si="172"/>
        <v>MI-2</v>
      </c>
      <c r="P371">
        <f t="shared" si="173"/>
        <v>2</v>
      </c>
      <c r="Q371">
        <f t="shared" si="174"/>
        <v>1.02</v>
      </c>
      <c r="R371">
        <f t="shared" si="175"/>
        <v>2</v>
      </c>
      <c r="S371">
        <f t="shared" si="176"/>
        <v>1</v>
      </c>
      <c r="T371" t="str">
        <f>IF(V371="","",IFERROR(VLOOKUP(TRIM($V371),KEY!$B$2:$E$58,2,FALSE),""))</f>
        <v>MI</v>
      </c>
      <c r="V371" s="64" t="s">
        <v>38</v>
      </c>
      <c r="W371" s="64">
        <v>2</v>
      </c>
      <c r="X371" s="64">
        <v>0</v>
      </c>
      <c r="Y371" s="64">
        <v>0</v>
      </c>
      <c r="Z371" s="64">
        <v>0</v>
      </c>
      <c r="AA371" s="64">
        <v>0</v>
      </c>
      <c r="AB371" s="64">
        <v>0</v>
      </c>
      <c r="AC371" s="64">
        <v>0</v>
      </c>
      <c r="AD371" s="64">
        <v>0</v>
      </c>
      <c r="AE371" s="64">
        <v>0</v>
      </c>
      <c r="AF371" s="64">
        <v>0</v>
      </c>
      <c r="AG371" s="64">
        <v>0</v>
      </c>
      <c r="AH371" s="64">
        <v>2</v>
      </c>
      <c r="AI371" s="64">
        <v>1</v>
      </c>
      <c r="AJ371" s="64">
        <v>0</v>
      </c>
      <c r="AK371" s="64">
        <v>0</v>
      </c>
      <c r="AL371" s="64">
        <v>0</v>
      </c>
      <c r="AM371" s="64">
        <v>0</v>
      </c>
    </row>
    <row r="372" spans="2:39" x14ac:dyDescent="0.2">
      <c r="B372" t="str">
        <f t="shared" si="161"/>
        <v>TX-7</v>
      </c>
      <c r="C372" t="str">
        <f t="shared" si="162"/>
        <v>Nov 2024-TX-7</v>
      </c>
      <c r="D372">
        <f t="shared" si="163"/>
        <v>7</v>
      </c>
      <c r="E372">
        <f t="shared" si="164"/>
        <v>1.07</v>
      </c>
      <c r="F372">
        <f t="shared" si="165"/>
        <v>7</v>
      </c>
      <c r="G372">
        <f t="shared" si="166"/>
        <v>1</v>
      </c>
      <c r="H372" t="str">
        <f>IF(V372="","",IFERROR(VLOOKUP(TRIM($V372),KEY!$B$2:$E$58,3,FALSE),""))</f>
        <v>TX</v>
      </c>
      <c r="I372" t="str">
        <f t="shared" si="167"/>
        <v>WEST-38</v>
      </c>
      <c r="J372" t="str">
        <f t="shared" si="168"/>
        <v>Apr 2025-WEST-38</v>
      </c>
      <c r="K372">
        <f t="shared" si="169"/>
        <v>38</v>
      </c>
      <c r="L372">
        <f t="shared" si="170"/>
        <v>4.3899999999999997</v>
      </c>
      <c r="M372">
        <f>IF(V372="","",IFERROR(VLOOKUP(TRIM($V372),KEY!$B$2:$E$58,4,FALSE),""))</f>
        <v>39</v>
      </c>
      <c r="N372">
        <f t="shared" si="171"/>
        <v>4</v>
      </c>
      <c r="O372" t="str">
        <f t="shared" si="172"/>
        <v>MI-3</v>
      </c>
      <c r="P372">
        <f t="shared" si="173"/>
        <v>3</v>
      </c>
      <c r="Q372">
        <f t="shared" si="174"/>
        <v>1.03</v>
      </c>
      <c r="R372">
        <f t="shared" si="175"/>
        <v>3</v>
      </c>
      <c r="S372">
        <f t="shared" si="176"/>
        <v>1</v>
      </c>
      <c r="T372" t="str">
        <f>IF(V372="","",IFERROR(VLOOKUP(TRIM($V372),KEY!$B$2:$E$58,2,FALSE),""))</f>
        <v>MI</v>
      </c>
      <c r="V372" s="64" t="s">
        <v>39</v>
      </c>
      <c r="W372" s="64">
        <v>1</v>
      </c>
      <c r="X372" s="64">
        <v>0</v>
      </c>
      <c r="Y372" s="64">
        <v>0</v>
      </c>
      <c r="Z372" s="64">
        <v>0</v>
      </c>
      <c r="AA372" s="64">
        <v>0</v>
      </c>
      <c r="AB372" s="64">
        <v>0</v>
      </c>
      <c r="AC372" s="64">
        <v>0</v>
      </c>
      <c r="AD372" s="64">
        <v>0</v>
      </c>
      <c r="AE372" s="64">
        <v>0</v>
      </c>
      <c r="AF372" s="64">
        <v>0</v>
      </c>
      <c r="AG372" s="64">
        <v>0</v>
      </c>
      <c r="AH372" s="64">
        <v>1</v>
      </c>
      <c r="AI372" s="64">
        <v>1</v>
      </c>
      <c r="AJ372" s="64">
        <v>0</v>
      </c>
      <c r="AK372" s="64">
        <v>0</v>
      </c>
      <c r="AL372" s="64">
        <v>0</v>
      </c>
      <c r="AM372" s="64">
        <v>0</v>
      </c>
    </row>
    <row r="373" spans="2:39" x14ac:dyDescent="0.2">
      <c r="B373" t="str">
        <f t="shared" si="161"/>
        <v>NorCal-5</v>
      </c>
      <c r="C373" t="str">
        <f t="shared" si="162"/>
        <v>Nov 2024-NorCal-5</v>
      </c>
      <c r="D373">
        <f t="shared" si="163"/>
        <v>5</v>
      </c>
      <c r="E373">
        <f t="shared" si="164"/>
        <v>1.05</v>
      </c>
      <c r="F373">
        <f t="shared" si="165"/>
        <v>5</v>
      </c>
      <c r="G373">
        <f t="shared" si="166"/>
        <v>1</v>
      </c>
      <c r="H373" t="str">
        <f>IF(V373="","",IFERROR(VLOOKUP(TRIM($V373),KEY!$B$2:$E$58,3,FALSE),""))</f>
        <v>NorCal</v>
      </c>
      <c r="I373" t="str">
        <f t="shared" si="167"/>
        <v>WEST-39</v>
      </c>
      <c r="J373" t="str">
        <f t="shared" si="168"/>
        <v>Apr 2025-WEST-39</v>
      </c>
      <c r="K373">
        <f t="shared" si="169"/>
        <v>39</v>
      </c>
      <c r="L373">
        <f t="shared" si="170"/>
        <v>4.4000000000000004</v>
      </c>
      <c r="M373">
        <f>IF(V373="","",IFERROR(VLOOKUP(TRIM($V373),KEY!$B$2:$E$58,4,FALSE),""))</f>
        <v>40</v>
      </c>
      <c r="N373">
        <f t="shared" si="171"/>
        <v>4</v>
      </c>
      <c r="O373" t="str">
        <f t="shared" si="172"/>
        <v>MI-4</v>
      </c>
      <c r="P373">
        <f t="shared" si="173"/>
        <v>4</v>
      </c>
      <c r="Q373">
        <f t="shared" si="174"/>
        <v>1.04</v>
      </c>
      <c r="R373">
        <f t="shared" si="175"/>
        <v>4</v>
      </c>
      <c r="S373">
        <f t="shared" si="176"/>
        <v>1</v>
      </c>
      <c r="T373" t="str">
        <f>IF(V373="","",IFERROR(VLOOKUP(TRIM($V373),KEY!$B$2:$E$58,2,FALSE),""))</f>
        <v>MI</v>
      </c>
      <c r="V373" s="64" t="s">
        <v>40</v>
      </c>
      <c r="W373" s="64">
        <v>1</v>
      </c>
      <c r="X373" s="64">
        <v>0</v>
      </c>
      <c r="Y373" s="64">
        <v>0</v>
      </c>
      <c r="Z373" s="64">
        <v>0</v>
      </c>
      <c r="AA373" s="64">
        <v>0</v>
      </c>
      <c r="AB373" s="64">
        <v>0</v>
      </c>
      <c r="AC373" s="64">
        <v>0</v>
      </c>
      <c r="AD373" s="64">
        <v>0</v>
      </c>
      <c r="AE373" s="64">
        <v>0</v>
      </c>
      <c r="AF373" s="64">
        <v>1</v>
      </c>
      <c r="AG373" s="64">
        <v>0</v>
      </c>
      <c r="AH373" s="64">
        <v>0</v>
      </c>
      <c r="AI373" s="64">
        <v>1</v>
      </c>
      <c r="AJ373" s="64">
        <v>0</v>
      </c>
      <c r="AK373" s="64">
        <v>0</v>
      </c>
      <c r="AL373" s="64">
        <v>0</v>
      </c>
      <c r="AM373" s="64">
        <v>0</v>
      </c>
    </row>
    <row r="374" spans="2:39" x14ac:dyDescent="0.2">
      <c r="B374" t="str">
        <f t="shared" si="161"/>
        <v>OC-3</v>
      </c>
      <c r="C374" t="str">
        <f t="shared" si="162"/>
        <v>Nov 2024-OC-3</v>
      </c>
      <c r="D374">
        <f t="shared" si="163"/>
        <v>3</v>
      </c>
      <c r="E374">
        <f t="shared" si="164"/>
        <v>1.07</v>
      </c>
      <c r="F374">
        <f t="shared" si="165"/>
        <v>7</v>
      </c>
      <c r="G374">
        <f t="shared" si="166"/>
        <v>1</v>
      </c>
      <c r="H374" t="str">
        <f>IF(V374="","",IFERROR(VLOOKUP(TRIM($V374),KEY!$B$2:$E$58,3,FALSE),""))</f>
        <v>OC</v>
      </c>
      <c r="I374" t="str">
        <f t="shared" si="167"/>
        <v>WEST--</v>
      </c>
      <c r="J374" t="str">
        <f t="shared" si="168"/>
        <v>Apr 2025-WEST--</v>
      </c>
      <c r="K374" t="str">
        <f t="shared" si="169"/>
        <v>-</v>
      </c>
      <c r="L374" t="str">
        <f t="shared" si="170"/>
        <v>-</v>
      </c>
      <c r="M374">
        <f>IF(V374="","",IFERROR(VLOOKUP(TRIM($V374),KEY!$B$2:$E$58,4,FALSE),""))</f>
        <v>41</v>
      </c>
      <c r="N374" t="str">
        <f t="shared" si="171"/>
        <v>-</v>
      </c>
      <c r="O374" t="str">
        <f t="shared" si="172"/>
        <v>MI-5</v>
      </c>
      <c r="P374">
        <f t="shared" si="173"/>
        <v>5</v>
      </c>
      <c r="Q374">
        <f t="shared" si="174"/>
        <v>1.05</v>
      </c>
      <c r="R374">
        <f t="shared" si="175"/>
        <v>5</v>
      </c>
      <c r="S374">
        <f t="shared" si="176"/>
        <v>1</v>
      </c>
      <c r="T374" t="str">
        <f>IF(V374="","",IFERROR(VLOOKUP(TRIM($V374),KEY!$B$2:$E$58,2,FALSE),""))</f>
        <v>MI</v>
      </c>
      <c r="V374" s="64" t="s">
        <v>41</v>
      </c>
      <c r="W374" s="64">
        <v>0</v>
      </c>
      <c r="X374" s="64">
        <v>0</v>
      </c>
      <c r="Y374" s="64" t="s">
        <v>274</v>
      </c>
      <c r="Z374" s="64">
        <v>0</v>
      </c>
      <c r="AA374" s="64">
        <v>0</v>
      </c>
      <c r="AB374" s="64">
        <v>0</v>
      </c>
      <c r="AC374" s="64">
        <v>0</v>
      </c>
      <c r="AD374" s="64">
        <v>0</v>
      </c>
      <c r="AE374" s="64" t="s">
        <v>274</v>
      </c>
      <c r="AF374" s="64">
        <v>0</v>
      </c>
      <c r="AG374" s="64">
        <v>0</v>
      </c>
      <c r="AH374" s="64">
        <v>0</v>
      </c>
      <c r="AI374" s="64" t="s">
        <v>274</v>
      </c>
      <c r="AJ374" s="64">
        <v>0</v>
      </c>
      <c r="AK374" s="64">
        <v>0</v>
      </c>
      <c r="AL374" s="64">
        <v>0</v>
      </c>
      <c r="AM374" s="64" t="s">
        <v>274</v>
      </c>
    </row>
    <row r="375" spans="2:39" x14ac:dyDescent="0.2">
      <c r="B375" t="str">
        <f t="shared" si="161"/>
        <v>SoCal-11</v>
      </c>
      <c r="C375" t="str">
        <f t="shared" si="162"/>
        <v>Nov 2024-SoCal-11</v>
      </c>
      <c r="D375">
        <f t="shared" si="163"/>
        <v>11</v>
      </c>
      <c r="E375">
        <f t="shared" si="164"/>
        <v>3.11</v>
      </c>
      <c r="F375">
        <f t="shared" si="165"/>
        <v>11</v>
      </c>
      <c r="G375">
        <f t="shared" si="166"/>
        <v>3</v>
      </c>
      <c r="H375" t="str">
        <f>IF(V375="","",IFERROR(VLOOKUP(TRIM($V375),KEY!$B$2:$E$58,3,FALSE),""))</f>
        <v>SoCal</v>
      </c>
      <c r="I375" t="str">
        <f t="shared" si="167"/>
        <v>WEST-40</v>
      </c>
      <c r="J375" t="str">
        <f t="shared" si="168"/>
        <v>Apr 2025-WEST-40</v>
      </c>
      <c r="K375">
        <f t="shared" si="169"/>
        <v>40</v>
      </c>
      <c r="L375">
        <f t="shared" si="170"/>
        <v>4.42</v>
      </c>
      <c r="M375">
        <f>IF(V375="","",IFERROR(VLOOKUP(TRIM($V375),KEY!$B$2:$E$58,4,FALSE),""))</f>
        <v>42</v>
      </c>
      <c r="N375">
        <f t="shared" si="171"/>
        <v>4</v>
      </c>
      <c r="O375" t="str">
        <f t="shared" si="172"/>
        <v>MI-6</v>
      </c>
      <c r="P375">
        <f t="shared" si="173"/>
        <v>6</v>
      </c>
      <c r="Q375">
        <f t="shared" si="174"/>
        <v>1.06</v>
      </c>
      <c r="R375">
        <f t="shared" si="175"/>
        <v>6</v>
      </c>
      <c r="S375">
        <f t="shared" si="176"/>
        <v>1</v>
      </c>
      <c r="T375" t="str">
        <f>IF(V375="","",IFERROR(VLOOKUP(TRIM($V375),KEY!$B$2:$E$58,2,FALSE),""))</f>
        <v>MI</v>
      </c>
      <c r="V375" s="64" t="s">
        <v>42</v>
      </c>
      <c r="W375" s="64">
        <v>1</v>
      </c>
      <c r="X375" s="64">
        <v>0</v>
      </c>
      <c r="Y375" s="64">
        <v>0</v>
      </c>
      <c r="Z375" s="64">
        <v>0</v>
      </c>
      <c r="AA375" s="64">
        <v>0</v>
      </c>
      <c r="AB375" s="64">
        <v>0</v>
      </c>
      <c r="AC375" s="64">
        <v>0</v>
      </c>
      <c r="AD375" s="64">
        <v>0</v>
      </c>
      <c r="AE375" s="64">
        <v>0</v>
      </c>
      <c r="AF375" s="64">
        <v>0</v>
      </c>
      <c r="AG375" s="64">
        <v>0</v>
      </c>
      <c r="AH375" s="64">
        <v>0</v>
      </c>
      <c r="AI375" s="64">
        <v>0</v>
      </c>
      <c r="AJ375" s="64">
        <v>1</v>
      </c>
      <c r="AK375" s="64">
        <v>0</v>
      </c>
      <c r="AL375" s="64">
        <v>0</v>
      </c>
      <c r="AM375" s="64">
        <v>1</v>
      </c>
    </row>
    <row r="376" spans="2:39" x14ac:dyDescent="0.2">
      <c r="B376" t="str">
        <f t="shared" si="161"/>
        <v>AZ-13</v>
      </c>
      <c r="C376" t="str">
        <f t="shared" si="162"/>
        <v>Nov 2024-AZ-13</v>
      </c>
      <c r="D376">
        <f t="shared" si="163"/>
        <v>13</v>
      </c>
      <c r="E376">
        <f t="shared" si="164"/>
        <v>1.1299999999999999</v>
      </c>
      <c r="F376">
        <f t="shared" si="165"/>
        <v>13</v>
      </c>
      <c r="G376">
        <f t="shared" si="166"/>
        <v>1</v>
      </c>
      <c r="H376" t="str">
        <f>IF(V376="","",IFERROR(VLOOKUP(TRIM($V376),KEY!$B$2:$E$58,3,FALSE),""))</f>
        <v>AZ</v>
      </c>
      <c r="I376" t="str">
        <f t="shared" si="167"/>
        <v>WEST-41</v>
      </c>
      <c r="J376" t="str">
        <f t="shared" si="168"/>
        <v>Apr 2025-WEST-41</v>
      </c>
      <c r="K376">
        <f t="shared" si="169"/>
        <v>41</v>
      </c>
      <c r="L376">
        <f t="shared" si="170"/>
        <v>4.43</v>
      </c>
      <c r="M376">
        <f>IF(V376="","",IFERROR(VLOOKUP(TRIM($V376),KEY!$B$2:$E$58,4,FALSE),""))</f>
        <v>43</v>
      </c>
      <c r="N376">
        <f t="shared" si="171"/>
        <v>4</v>
      </c>
      <c r="O376" t="str">
        <f t="shared" si="172"/>
        <v>MI-7</v>
      </c>
      <c r="P376">
        <f t="shared" si="173"/>
        <v>7</v>
      </c>
      <c r="Q376">
        <f t="shared" si="174"/>
        <v>1.07</v>
      </c>
      <c r="R376">
        <f t="shared" si="175"/>
        <v>7</v>
      </c>
      <c r="S376">
        <f t="shared" si="176"/>
        <v>1</v>
      </c>
      <c r="T376" t="str">
        <f>IF(V376="","",IFERROR(VLOOKUP(TRIM($V376),KEY!$B$2:$E$58,2,FALSE),""))</f>
        <v>MI</v>
      </c>
      <c r="V376" s="64" t="s">
        <v>43</v>
      </c>
      <c r="W376" s="64">
        <v>1</v>
      </c>
      <c r="X376" s="64">
        <v>0</v>
      </c>
      <c r="Y376" s="64">
        <v>0</v>
      </c>
      <c r="Z376" s="64">
        <v>0</v>
      </c>
      <c r="AA376" s="64">
        <v>0</v>
      </c>
      <c r="AB376" s="64">
        <v>0</v>
      </c>
      <c r="AC376" s="64">
        <v>0</v>
      </c>
      <c r="AD376" s="64">
        <v>0</v>
      </c>
      <c r="AE376" s="64">
        <v>0</v>
      </c>
      <c r="AF376" s="64">
        <v>0</v>
      </c>
      <c r="AG376" s="64">
        <v>0</v>
      </c>
      <c r="AH376" s="64">
        <v>1</v>
      </c>
      <c r="AI376" s="64">
        <v>1</v>
      </c>
      <c r="AJ376" s="64">
        <v>0</v>
      </c>
      <c r="AK376" s="64">
        <v>0</v>
      </c>
      <c r="AL376" s="64">
        <v>0</v>
      </c>
      <c r="AM376" s="64">
        <v>0</v>
      </c>
    </row>
    <row r="377" spans="2:39" x14ac:dyDescent="0.2">
      <c r="B377" t="str">
        <f t="shared" si="161"/>
        <v>NorCal-6</v>
      </c>
      <c r="C377" t="str">
        <f t="shared" si="162"/>
        <v>Nov 2024-NorCal-6</v>
      </c>
      <c r="D377">
        <f t="shared" si="163"/>
        <v>6</v>
      </c>
      <c r="E377">
        <f t="shared" si="164"/>
        <v>1.06</v>
      </c>
      <c r="F377">
        <f t="shared" si="165"/>
        <v>6</v>
      </c>
      <c r="G377">
        <f t="shared" si="166"/>
        <v>1</v>
      </c>
      <c r="H377" t="str">
        <f>IF(V377="","",IFERROR(VLOOKUP(TRIM($V377),KEY!$B$2:$E$58,3,FALSE),""))</f>
        <v>NorCal</v>
      </c>
      <c r="I377" t="str">
        <f t="shared" si="167"/>
        <v>WEST-42</v>
      </c>
      <c r="J377" t="str">
        <f t="shared" si="168"/>
        <v>Apr 2025-WEST-42</v>
      </c>
      <c r="K377">
        <f t="shared" si="169"/>
        <v>42</v>
      </c>
      <c r="L377">
        <f t="shared" si="170"/>
        <v>4.4400000000000004</v>
      </c>
      <c r="M377">
        <f>IF(V377="","",IFERROR(VLOOKUP(TRIM($V377),KEY!$B$2:$E$58,4,FALSE),""))</f>
        <v>44</v>
      </c>
      <c r="N377">
        <f t="shared" si="171"/>
        <v>4</v>
      </c>
      <c r="O377" t="str">
        <f t="shared" si="172"/>
        <v>BM-7</v>
      </c>
      <c r="P377">
        <f t="shared" si="173"/>
        <v>7</v>
      </c>
      <c r="Q377">
        <f t="shared" si="174"/>
        <v>3.07</v>
      </c>
      <c r="R377">
        <f t="shared" si="175"/>
        <v>7</v>
      </c>
      <c r="S377">
        <f t="shared" si="176"/>
        <v>3</v>
      </c>
      <c r="T377" t="str">
        <f>IF(V377="","",IFERROR(VLOOKUP(TRIM($V377),KEY!$B$2:$E$58,2,FALSE),""))</f>
        <v>BM</v>
      </c>
      <c r="V377" s="64" t="s">
        <v>21</v>
      </c>
      <c r="W377" s="64">
        <v>47</v>
      </c>
      <c r="X377" s="64">
        <v>0</v>
      </c>
      <c r="Y377" s="64">
        <v>0</v>
      </c>
      <c r="Z377" s="64">
        <v>0</v>
      </c>
      <c r="AA377" s="64">
        <v>0</v>
      </c>
      <c r="AB377" s="64">
        <v>0</v>
      </c>
      <c r="AC377" s="64">
        <v>0</v>
      </c>
      <c r="AD377" s="64">
        <v>0</v>
      </c>
      <c r="AE377" s="64">
        <v>0</v>
      </c>
      <c r="AF377" s="64">
        <v>0</v>
      </c>
      <c r="AG377" s="64">
        <v>0</v>
      </c>
      <c r="AH377" s="64">
        <v>47</v>
      </c>
      <c r="AI377" s="64">
        <v>1</v>
      </c>
      <c r="AJ377" s="64">
        <v>0</v>
      </c>
      <c r="AK377" s="64">
        <v>0</v>
      </c>
      <c r="AL377" s="64">
        <v>0</v>
      </c>
      <c r="AM377" s="64">
        <v>0</v>
      </c>
    </row>
    <row r="378" spans="2:39" x14ac:dyDescent="0.2">
      <c r="B378" t="str">
        <f t="shared" si="161"/>
        <v>AZ-14</v>
      </c>
      <c r="C378" t="str">
        <f t="shared" si="162"/>
        <v>Nov 2024-AZ-14</v>
      </c>
      <c r="D378">
        <f t="shared" si="163"/>
        <v>14</v>
      </c>
      <c r="E378">
        <f t="shared" si="164"/>
        <v>1.1400000000000001</v>
      </c>
      <c r="F378">
        <f t="shared" si="165"/>
        <v>14</v>
      </c>
      <c r="G378">
        <f t="shared" si="166"/>
        <v>1</v>
      </c>
      <c r="H378" t="str">
        <f>IF(V378="","",IFERROR(VLOOKUP(TRIM($V378),KEY!$B$2:$E$58,3,FALSE),""))</f>
        <v>AZ</v>
      </c>
      <c r="I378" t="str">
        <f t="shared" si="167"/>
        <v>WEST-43</v>
      </c>
      <c r="J378" t="str">
        <f t="shared" si="168"/>
        <v>Apr 2025-WEST-43</v>
      </c>
      <c r="K378">
        <f t="shared" si="169"/>
        <v>43</v>
      </c>
      <c r="L378">
        <f t="shared" si="170"/>
        <v>4.45</v>
      </c>
      <c r="M378">
        <f>IF(V378="","",IFERROR(VLOOKUP(TRIM($V378),KEY!$B$2:$E$58,4,FALSE),""))</f>
        <v>45</v>
      </c>
      <c r="N378">
        <f t="shared" si="171"/>
        <v>4</v>
      </c>
      <c r="O378" t="str">
        <f t="shared" si="172"/>
        <v>PO-1</v>
      </c>
      <c r="P378">
        <f t="shared" si="173"/>
        <v>1</v>
      </c>
      <c r="Q378">
        <f t="shared" si="174"/>
        <v>1.01</v>
      </c>
      <c r="R378">
        <f t="shared" si="175"/>
        <v>1</v>
      </c>
      <c r="S378">
        <f t="shared" si="176"/>
        <v>1</v>
      </c>
      <c r="T378" t="str">
        <f>IF(V378="","",IFERROR(VLOOKUP(TRIM($V378),KEY!$B$2:$E$58,2,FALSE),""))</f>
        <v>PO</v>
      </c>
      <c r="V378" s="64" t="s">
        <v>44</v>
      </c>
      <c r="W378" s="64">
        <v>3</v>
      </c>
      <c r="X378" s="64">
        <v>0</v>
      </c>
      <c r="Y378" s="64">
        <v>0</v>
      </c>
      <c r="Z378" s="64">
        <v>0</v>
      </c>
      <c r="AA378" s="64">
        <v>0</v>
      </c>
      <c r="AB378" s="64">
        <v>0</v>
      </c>
      <c r="AC378" s="64">
        <v>0</v>
      </c>
      <c r="AD378" s="64">
        <v>0</v>
      </c>
      <c r="AE378" s="64">
        <v>0</v>
      </c>
      <c r="AF378" s="64">
        <v>0</v>
      </c>
      <c r="AG378" s="64">
        <v>0</v>
      </c>
      <c r="AH378" s="64">
        <v>3</v>
      </c>
      <c r="AI378" s="64">
        <v>1</v>
      </c>
      <c r="AJ378" s="64">
        <v>0</v>
      </c>
      <c r="AK378" s="64">
        <v>0</v>
      </c>
      <c r="AL378" s="64">
        <v>0</v>
      </c>
      <c r="AM378" s="64">
        <v>0</v>
      </c>
    </row>
    <row r="379" spans="2:39" x14ac:dyDescent="0.2">
      <c r="B379" t="str">
        <f t="shared" si="161"/>
        <v>NorCal-7</v>
      </c>
      <c r="C379" t="str">
        <f t="shared" si="162"/>
        <v>Nov 2024-NorCal-7</v>
      </c>
      <c r="D379">
        <f t="shared" si="163"/>
        <v>7</v>
      </c>
      <c r="E379">
        <f t="shared" si="164"/>
        <v>1.07</v>
      </c>
      <c r="F379">
        <f t="shared" si="165"/>
        <v>7</v>
      </c>
      <c r="G379">
        <f t="shared" si="166"/>
        <v>1</v>
      </c>
      <c r="H379" t="str">
        <f>IF(V379="","",IFERROR(VLOOKUP(TRIM($V379),KEY!$B$2:$E$58,3,FALSE),""))</f>
        <v>NorCal</v>
      </c>
      <c r="I379" t="str">
        <f t="shared" si="167"/>
        <v>WEST-44</v>
      </c>
      <c r="J379" t="str">
        <f t="shared" si="168"/>
        <v>Apr 2025-WEST-44</v>
      </c>
      <c r="K379">
        <f t="shared" si="169"/>
        <v>44</v>
      </c>
      <c r="L379">
        <f t="shared" si="170"/>
        <v>4.46</v>
      </c>
      <c r="M379">
        <f>IF(V379="","",IFERROR(VLOOKUP(TRIM($V379),KEY!$B$2:$E$58,4,FALSE),""))</f>
        <v>46</v>
      </c>
      <c r="N379">
        <f t="shared" si="171"/>
        <v>4</v>
      </c>
      <c r="O379" t="str">
        <f t="shared" si="172"/>
        <v>PO-2</v>
      </c>
      <c r="P379">
        <f t="shared" si="173"/>
        <v>2</v>
      </c>
      <c r="Q379">
        <f t="shared" si="174"/>
        <v>1.02</v>
      </c>
      <c r="R379">
        <f t="shared" si="175"/>
        <v>2</v>
      </c>
      <c r="S379">
        <f t="shared" si="176"/>
        <v>1</v>
      </c>
      <c r="T379" t="str">
        <f>IF(V379="","",IFERROR(VLOOKUP(TRIM($V379),KEY!$B$2:$E$58,2,FALSE),""))</f>
        <v>PO</v>
      </c>
      <c r="V379" s="64" t="s">
        <v>45</v>
      </c>
      <c r="W379" s="64">
        <v>13</v>
      </c>
      <c r="X379" s="64">
        <v>0</v>
      </c>
      <c r="Y379" s="64">
        <v>0</v>
      </c>
      <c r="Z379" s="64">
        <v>0</v>
      </c>
      <c r="AA379" s="64">
        <v>0</v>
      </c>
      <c r="AB379" s="64">
        <v>0</v>
      </c>
      <c r="AC379" s="64">
        <v>0</v>
      </c>
      <c r="AD379" s="64">
        <v>0</v>
      </c>
      <c r="AE379" s="64">
        <v>0</v>
      </c>
      <c r="AF379" s="64">
        <v>0</v>
      </c>
      <c r="AG379" s="64">
        <v>0</v>
      </c>
      <c r="AH379" s="64">
        <v>13</v>
      </c>
      <c r="AI379" s="64">
        <v>1</v>
      </c>
      <c r="AJ379" s="64">
        <v>0</v>
      </c>
      <c r="AK379" s="64">
        <v>0</v>
      </c>
      <c r="AL379" s="64">
        <v>0</v>
      </c>
      <c r="AM379" s="64">
        <v>0</v>
      </c>
    </row>
    <row r="380" spans="2:39" x14ac:dyDescent="0.2">
      <c r="B380" t="str">
        <f t="shared" si="161"/>
        <v>TX-8</v>
      </c>
      <c r="C380" t="str">
        <f t="shared" si="162"/>
        <v>Nov 2024-TX-8</v>
      </c>
      <c r="D380">
        <f t="shared" si="163"/>
        <v>8</v>
      </c>
      <c r="E380">
        <f t="shared" si="164"/>
        <v>1.08</v>
      </c>
      <c r="F380">
        <f t="shared" si="165"/>
        <v>8</v>
      </c>
      <c r="G380">
        <f t="shared" si="166"/>
        <v>1</v>
      </c>
      <c r="H380" t="str">
        <f>IF(V380="","",IFERROR(VLOOKUP(TRIM($V380),KEY!$B$2:$E$58,3,FALSE),""))</f>
        <v>TX</v>
      </c>
      <c r="I380" t="str">
        <f t="shared" si="167"/>
        <v>WEST-45</v>
      </c>
      <c r="J380" t="str">
        <f t="shared" si="168"/>
        <v>Apr 2025-WEST-45</v>
      </c>
      <c r="K380">
        <f t="shared" si="169"/>
        <v>45</v>
      </c>
      <c r="L380">
        <f t="shared" si="170"/>
        <v>4.47</v>
      </c>
      <c r="M380">
        <f>IF(V380="","",IFERROR(VLOOKUP(TRIM($V380),KEY!$B$2:$E$58,4,FALSE),""))</f>
        <v>47</v>
      </c>
      <c r="N380">
        <f t="shared" si="171"/>
        <v>4</v>
      </c>
      <c r="O380" t="str">
        <f t="shared" si="172"/>
        <v>HO-5</v>
      </c>
      <c r="P380">
        <f t="shared" si="173"/>
        <v>5</v>
      </c>
      <c r="Q380">
        <f t="shared" si="174"/>
        <v>1.05</v>
      </c>
      <c r="R380">
        <f t="shared" si="175"/>
        <v>5</v>
      </c>
      <c r="S380">
        <f t="shared" si="176"/>
        <v>1</v>
      </c>
      <c r="T380" t="str">
        <f>IF(V380="","",IFERROR(VLOOKUP(TRIM($V380),KEY!$B$2:$E$58,2,FALSE),""))</f>
        <v>HO</v>
      </c>
      <c r="V380" s="64" t="s">
        <v>25</v>
      </c>
      <c r="W380" s="64">
        <v>17</v>
      </c>
      <c r="X380" s="64">
        <v>0</v>
      </c>
      <c r="Y380" s="64">
        <v>0</v>
      </c>
      <c r="Z380" s="64">
        <v>0</v>
      </c>
      <c r="AA380" s="64">
        <v>0</v>
      </c>
      <c r="AB380" s="64">
        <v>0</v>
      </c>
      <c r="AC380" s="64">
        <v>0</v>
      </c>
      <c r="AD380" s="64">
        <v>0</v>
      </c>
      <c r="AE380" s="64">
        <v>0</v>
      </c>
      <c r="AF380" s="64">
        <v>0</v>
      </c>
      <c r="AG380" s="64">
        <v>0</v>
      </c>
      <c r="AH380" s="64">
        <v>17</v>
      </c>
      <c r="AI380" s="64">
        <v>1</v>
      </c>
      <c r="AJ380" s="64">
        <v>0</v>
      </c>
      <c r="AK380" s="64">
        <v>0</v>
      </c>
      <c r="AL380" s="64">
        <v>0</v>
      </c>
      <c r="AM380" s="64">
        <v>0</v>
      </c>
    </row>
    <row r="381" spans="2:39" x14ac:dyDescent="0.2">
      <c r="B381" t="str">
        <f t="shared" si="161"/>
        <v>TX-9</v>
      </c>
      <c r="C381" t="str">
        <f t="shared" si="162"/>
        <v>Nov 2024-TX-9</v>
      </c>
      <c r="D381">
        <f t="shared" si="163"/>
        <v>9</v>
      </c>
      <c r="E381">
        <f t="shared" si="164"/>
        <v>1.0900000000000001</v>
      </c>
      <c r="F381">
        <f t="shared" si="165"/>
        <v>9</v>
      </c>
      <c r="G381">
        <f t="shared" si="166"/>
        <v>1</v>
      </c>
      <c r="H381" t="str">
        <f>IF(V381="","",IFERROR(VLOOKUP(TRIM($V381),KEY!$B$2:$E$58,3,FALSE),""))</f>
        <v>TX</v>
      </c>
      <c r="I381" t="str">
        <f t="shared" si="167"/>
        <v>WEST-46</v>
      </c>
      <c r="J381" t="str">
        <f t="shared" si="168"/>
        <v>Apr 2025-WEST-46</v>
      </c>
      <c r="K381">
        <f t="shared" si="169"/>
        <v>46</v>
      </c>
      <c r="L381">
        <f t="shared" si="170"/>
        <v>4.4800000000000004</v>
      </c>
      <c r="M381">
        <f>IF(V381="","",IFERROR(VLOOKUP(TRIM($V381),KEY!$B$2:$E$58,4,FALSE),""))</f>
        <v>48</v>
      </c>
      <c r="N381">
        <f t="shared" si="171"/>
        <v>4</v>
      </c>
      <c r="O381" t="str">
        <f t="shared" si="172"/>
        <v>HY-2</v>
      </c>
      <c r="P381">
        <f t="shared" si="173"/>
        <v>2</v>
      </c>
      <c r="Q381">
        <f t="shared" si="174"/>
        <v>1.02</v>
      </c>
      <c r="R381">
        <f t="shared" si="175"/>
        <v>2</v>
      </c>
      <c r="S381">
        <f t="shared" si="176"/>
        <v>1</v>
      </c>
      <c r="T381" t="str">
        <f>IF(V381="","",IFERROR(VLOOKUP(TRIM($V381),KEY!$B$2:$E$58,2,FALSE),""))</f>
        <v>HY</v>
      </c>
      <c r="V381" s="64" t="s">
        <v>28</v>
      </c>
      <c r="W381" s="64">
        <v>9</v>
      </c>
      <c r="X381" s="64">
        <v>0</v>
      </c>
      <c r="Y381" s="64">
        <v>0</v>
      </c>
      <c r="Z381" s="64">
        <v>0</v>
      </c>
      <c r="AA381" s="64">
        <v>0</v>
      </c>
      <c r="AB381" s="64">
        <v>0</v>
      </c>
      <c r="AC381" s="64">
        <v>0</v>
      </c>
      <c r="AD381" s="64">
        <v>0</v>
      </c>
      <c r="AE381" s="64">
        <v>0</v>
      </c>
      <c r="AF381" s="64">
        <v>0</v>
      </c>
      <c r="AG381" s="64">
        <v>0</v>
      </c>
      <c r="AH381" s="64">
        <v>9</v>
      </c>
      <c r="AI381" s="64">
        <v>1</v>
      </c>
      <c r="AJ381" s="64">
        <v>0</v>
      </c>
      <c r="AK381" s="64">
        <v>0</v>
      </c>
      <c r="AL381" s="64">
        <v>0</v>
      </c>
      <c r="AM381" s="64">
        <v>0</v>
      </c>
    </row>
    <row r="382" spans="2:39" x14ac:dyDescent="0.2">
      <c r="B382" t="str">
        <f t="shared" si="161"/>
        <v>TX-10</v>
      </c>
      <c r="C382" t="str">
        <f t="shared" si="162"/>
        <v>Nov 2024-TX-10</v>
      </c>
      <c r="D382">
        <f t="shared" si="163"/>
        <v>10</v>
      </c>
      <c r="E382">
        <f t="shared" si="164"/>
        <v>1.1000000000000001</v>
      </c>
      <c r="F382">
        <f t="shared" si="165"/>
        <v>10</v>
      </c>
      <c r="G382">
        <f t="shared" si="166"/>
        <v>1</v>
      </c>
      <c r="H382" t="str">
        <f>IF(V382="","",IFERROR(VLOOKUP(TRIM($V382),KEY!$B$2:$E$58,3,FALSE),""))</f>
        <v>TX</v>
      </c>
      <c r="I382" t="str">
        <f t="shared" si="167"/>
        <v>WEST-47</v>
      </c>
      <c r="J382" t="str">
        <f t="shared" si="168"/>
        <v>Apr 2025-WEST-47</v>
      </c>
      <c r="K382">
        <f t="shared" si="169"/>
        <v>47</v>
      </c>
      <c r="L382">
        <f t="shared" si="170"/>
        <v>4.49</v>
      </c>
      <c r="M382">
        <f>IF(V382="","",IFERROR(VLOOKUP(TRIM($V382),KEY!$B$2:$E$58,4,FALSE),""))</f>
        <v>49</v>
      </c>
      <c r="N382">
        <f t="shared" si="171"/>
        <v>4</v>
      </c>
      <c r="O382" t="str">
        <f t="shared" si="172"/>
        <v>TO-2</v>
      </c>
      <c r="P382">
        <f t="shared" si="173"/>
        <v>2</v>
      </c>
      <c r="Q382">
        <f t="shared" si="174"/>
        <v>1.02</v>
      </c>
      <c r="R382">
        <f t="shared" si="175"/>
        <v>2</v>
      </c>
      <c r="S382">
        <f t="shared" si="176"/>
        <v>1</v>
      </c>
      <c r="T382" t="str">
        <f>IF(V382="","",IFERROR(VLOOKUP(TRIM($V382),KEY!$B$2:$E$58,2,FALSE),""))</f>
        <v>TO</v>
      </c>
      <c r="V382" s="64" t="s">
        <v>48</v>
      </c>
      <c r="W382" s="64">
        <v>4</v>
      </c>
      <c r="X382" s="64">
        <v>0</v>
      </c>
      <c r="Y382" s="64">
        <v>0</v>
      </c>
      <c r="Z382" s="64">
        <v>0</v>
      </c>
      <c r="AA382" s="64">
        <v>0</v>
      </c>
      <c r="AB382" s="64">
        <v>0</v>
      </c>
      <c r="AC382" s="64">
        <v>0</v>
      </c>
      <c r="AD382" s="64">
        <v>0</v>
      </c>
      <c r="AE382" s="64">
        <v>0</v>
      </c>
      <c r="AF382" s="64">
        <v>0</v>
      </c>
      <c r="AG382" s="64">
        <v>0</v>
      </c>
      <c r="AH382" s="64">
        <v>4</v>
      </c>
      <c r="AI382" s="64">
        <v>1</v>
      </c>
      <c r="AJ382" s="64">
        <v>0</v>
      </c>
      <c r="AK382" s="64">
        <v>0</v>
      </c>
      <c r="AL382" s="64">
        <v>0</v>
      </c>
      <c r="AM382" s="64">
        <v>0</v>
      </c>
    </row>
    <row r="383" spans="2:39" x14ac:dyDescent="0.2">
      <c r="B383" t="str">
        <f t="shared" si="161"/>
        <v>AZ-15</v>
      </c>
      <c r="C383" t="str">
        <f t="shared" si="162"/>
        <v>Nov 2024-AZ-15</v>
      </c>
      <c r="D383">
        <f t="shared" si="163"/>
        <v>15</v>
      </c>
      <c r="E383">
        <f t="shared" si="164"/>
        <v>1.1499999999999999</v>
      </c>
      <c r="F383">
        <f t="shared" si="165"/>
        <v>15</v>
      </c>
      <c r="G383">
        <f t="shared" si="166"/>
        <v>1</v>
      </c>
      <c r="H383" t="str">
        <f>IF(V383="","",IFERROR(VLOOKUP(TRIM($V383),KEY!$B$2:$E$58,3,FALSE),""))</f>
        <v>AZ</v>
      </c>
      <c r="I383" t="str">
        <f t="shared" si="167"/>
        <v>WEST-48</v>
      </c>
      <c r="J383" t="str">
        <f t="shared" si="168"/>
        <v>Apr 2025-WEST-48</v>
      </c>
      <c r="K383">
        <f t="shared" si="169"/>
        <v>48</v>
      </c>
      <c r="L383">
        <f t="shared" si="170"/>
        <v>4.5</v>
      </c>
      <c r="M383">
        <f>IF(V383="","",IFERROR(VLOOKUP(TRIM($V383),KEY!$B$2:$E$58,4,FALSE),""))</f>
        <v>50</v>
      </c>
      <c r="N383">
        <f t="shared" si="171"/>
        <v>4</v>
      </c>
      <c r="O383" t="str">
        <f t="shared" si="172"/>
        <v>FE-1</v>
      </c>
      <c r="P383">
        <f t="shared" si="173"/>
        <v>1</v>
      </c>
      <c r="Q383">
        <f t="shared" si="174"/>
        <v>1.01</v>
      </c>
      <c r="R383">
        <f t="shared" si="175"/>
        <v>1</v>
      </c>
      <c r="S383">
        <f t="shared" si="176"/>
        <v>1</v>
      </c>
      <c r="T383" t="str">
        <f>IF(V383="","",IFERROR(VLOOKUP(TRIM($V383),KEY!$B$2:$E$58,2,FALSE),""))</f>
        <v>FE</v>
      </c>
      <c r="V383" s="64" t="s">
        <v>46</v>
      </c>
      <c r="W383" s="64">
        <v>4</v>
      </c>
      <c r="X383" s="64">
        <v>0</v>
      </c>
      <c r="Y383" s="64">
        <v>0</v>
      </c>
      <c r="Z383" s="64">
        <v>0</v>
      </c>
      <c r="AA383" s="64">
        <v>0</v>
      </c>
      <c r="AB383" s="64">
        <v>0</v>
      </c>
      <c r="AC383" s="64">
        <v>0</v>
      </c>
      <c r="AD383" s="64">
        <v>0</v>
      </c>
      <c r="AE383" s="64">
        <v>0</v>
      </c>
      <c r="AF383" s="64">
        <v>0</v>
      </c>
      <c r="AG383" s="64">
        <v>0</v>
      </c>
      <c r="AH383" s="64">
        <v>4</v>
      </c>
      <c r="AI383" s="64">
        <v>1</v>
      </c>
      <c r="AJ383" s="64">
        <v>0</v>
      </c>
      <c r="AK383" s="64">
        <v>0</v>
      </c>
      <c r="AL383" s="64">
        <v>0</v>
      </c>
      <c r="AM383" s="64">
        <v>0</v>
      </c>
    </row>
    <row r="384" spans="2:39" x14ac:dyDescent="0.2">
      <c r="B384" t="str">
        <f t="shared" si="161"/>
        <v>OC-8</v>
      </c>
      <c r="C384" t="str">
        <f t="shared" si="162"/>
        <v>Nov 2024-OC-8</v>
      </c>
      <c r="D384">
        <f t="shared" si="163"/>
        <v>8</v>
      </c>
      <c r="E384">
        <f t="shared" si="164"/>
        <v>2.08</v>
      </c>
      <c r="F384">
        <f t="shared" si="165"/>
        <v>8</v>
      </c>
      <c r="G384">
        <f t="shared" si="166"/>
        <v>2</v>
      </c>
      <c r="H384" t="str">
        <f>IF(V384="","",IFERROR(VLOOKUP(TRIM($V384),KEY!$B$2:$E$58,3,FALSE),""))</f>
        <v>OC</v>
      </c>
      <c r="I384" t="str">
        <f t="shared" si="167"/>
        <v>WEST-49</v>
      </c>
      <c r="J384" t="str">
        <f t="shared" si="168"/>
        <v>Apr 2025-WEST-49</v>
      </c>
      <c r="K384">
        <f t="shared" si="169"/>
        <v>49</v>
      </c>
      <c r="L384">
        <f t="shared" si="170"/>
        <v>4.51</v>
      </c>
      <c r="M384">
        <f>IF(V384="","",IFERROR(VLOOKUP(TRIM($V384),KEY!$B$2:$E$58,4,FALSE),""))</f>
        <v>51</v>
      </c>
      <c r="N384">
        <f t="shared" si="171"/>
        <v>4</v>
      </c>
      <c r="O384" t="str">
        <f t="shared" si="172"/>
        <v>SU-1</v>
      </c>
      <c r="P384">
        <f t="shared" si="173"/>
        <v>1</v>
      </c>
      <c r="Q384">
        <f t="shared" si="174"/>
        <v>1.01</v>
      </c>
      <c r="R384">
        <f t="shared" si="175"/>
        <v>1</v>
      </c>
      <c r="S384">
        <f t="shared" si="176"/>
        <v>1</v>
      </c>
      <c r="T384" t="str">
        <f>IF(V384="","",IFERROR(VLOOKUP(TRIM($V384),KEY!$B$2:$E$58,2,FALSE),""))</f>
        <v>SU</v>
      </c>
      <c r="V384" s="64" t="s">
        <v>47</v>
      </c>
      <c r="W384" s="64">
        <v>14</v>
      </c>
      <c r="X384" s="64">
        <v>0</v>
      </c>
      <c r="Y384" s="64">
        <v>0</v>
      </c>
      <c r="Z384" s="64">
        <v>0</v>
      </c>
      <c r="AA384" s="64">
        <v>0</v>
      </c>
      <c r="AB384" s="64">
        <v>0</v>
      </c>
      <c r="AC384" s="64">
        <v>0</v>
      </c>
      <c r="AD384" s="64">
        <v>0</v>
      </c>
      <c r="AE384" s="64">
        <v>0</v>
      </c>
      <c r="AF384" s="64">
        <v>0</v>
      </c>
      <c r="AG384" s="64">
        <v>0</v>
      </c>
      <c r="AH384" s="64">
        <v>14</v>
      </c>
      <c r="AI384" s="64">
        <v>1</v>
      </c>
      <c r="AJ384" s="64">
        <v>0</v>
      </c>
      <c r="AK384" s="64">
        <v>0</v>
      </c>
      <c r="AL384" s="64">
        <v>0</v>
      </c>
      <c r="AM384" s="64">
        <v>0</v>
      </c>
    </row>
    <row r="385" spans="2:39" x14ac:dyDescent="0.2">
      <c r="B385" t="str">
        <f t="shared" si="161"/>
        <v>AZ-16</v>
      </c>
      <c r="C385" t="str">
        <f t="shared" si="162"/>
        <v>Nov 2024-AZ-16</v>
      </c>
      <c r="D385">
        <f t="shared" si="163"/>
        <v>16</v>
      </c>
      <c r="E385">
        <f t="shared" si="164"/>
        <v>1.1599999999999999</v>
      </c>
      <c r="F385">
        <f t="shared" si="165"/>
        <v>16</v>
      </c>
      <c r="G385">
        <f t="shared" si="166"/>
        <v>1</v>
      </c>
      <c r="H385" t="str">
        <f>IF(V385="","",IFERROR(VLOOKUP(TRIM($V385),KEY!$B$2:$E$58,3,FALSE),""))</f>
        <v>AZ</v>
      </c>
      <c r="I385" t="str">
        <f t="shared" si="167"/>
        <v>WEST-50</v>
      </c>
      <c r="J385" t="str">
        <f t="shared" si="168"/>
        <v>Apr 2025-WEST-50</v>
      </c>
      <c r="K385">
        <f t="shared" si="169"/>
        <v>50</v>
      </c>
      <c r="L385">
        <f t="shared" si="170"/>
        <v>4.5199999999999996</v>
      </c>
      <c r="M385">
        <f>IF(V385="","",IFERROR(VLOOKUP(TRIM($V385),KEY!$B$2:$E$58,4,FALSE),""))</f>
        <v>52</v>
      </c>
      <c r="N385">
        <f t="shared" si="171"/>
        <v>4</v>
      </c>
      <c r="O385" t="str">
        <f t="shared" si="172"/>
        <v>HO-6</v>
      </c>
      <c r="P385">
        <f t="shared" si="173"/>
        <v>6</v>
      </c>
      <c r="Q385">
        <f t="shared" si="174"/>
        <v>1.06</v>
      </c>
      <c r="R385">
        <f t="shared" si="175"/>
        <v>6</v>
      </c>
      <c r="S385">
        <f t="shared" si="176"/>
        <v>1</v>
      </c>
      <c r="T385" t="str">
        <f>IF(V385="","",IFERROR(VLOOKUP(TRIM($V385),KEY!$B$2:$E$58,2,FALSE),""))</f>
        <v>HO</v>
      </c>
      <c r="V385" s="64" t="s">
        <v>26</v>
      </c>
      <c r="W385" s="64">
        <v>25</v>
      </c>
      <c r="X385" s="64">
        <v>0</v>
      </c>
      <c r="Y385" s="64">
        <v>0</v>
      </c>
      <c r="Z385" s="64">
        <v>0</v>
      </c>
      <c r="AA385" s="64">
        <v>0</v>
      </c>
      <c r="AB385" s="64">
        <v>0</v>
      </c>
      <c r="AC385" s="64">
        <v>0</v>
      </c>
      <c r="AD385" s="64">
        <v>0</v>
      </c>
      <c r="AE385" s="64">
        <v>0</v>
      </c>
      <c r="AF385" s="64">
        <v>0</v>
      </c>
      <c r="AG385" s="64">
        <v>0</v>
      </c>
      <c r="AH385" s="64">
        <v>25</v>
      </c>
      <c r="AI385" s="64">
        <v>1</v>
      </c>
      <c r="AJ385" s="64">
        <v>0</v>
      </c>
      <c r="AK385" s="64">
        <v>0</v>
      </c>
      <c r="AL385" s="64">
        <v>0</v>
      </c>
      <c r="AM385" s="64">
        <v>0</v>
      </c>
    </row>
    <row r="386" spans="2:39" x14ac:dyDescent="0.2">
      <c r="B386" t="str">
        <f t="shared" si="161"/>
        <v>NorCal-8</v>
      </c>
      <c r="C386" t="str">
        <f t="shared" si="162"/>
        <v>Nov 2024-NorCal-8</v>
      </c>
      <c r="D386">
        <f t="shared" si="163"/>
        <v>8</v>
      </c>
      <c r="E386">
        <f t="shared" si="164"/>
        <v>1.08</v>
      </c>
      <c r="F386">
        <f t="shared" si="165"/>
        <v>8</v>
      </c>
      <c r="G386">
        <f t="shared" si="166"/>
        <v>1</v>
      </c>
      <c r="H386" t="str">
        <f>IF(V386="","",IFERROR(VLOOKUP(TRIM($V386),KEY!$B$2:$E$58,3,FALSE),""))</f>
        <v>NorCal</v>
      </c>
      <c r="I386" t="str">
        <f t="shared" si="167"/>
        <v>WEST-51</v>
      </c>
      <c r="J386" t="str">
        <f t="shared" si="168"/>
        <v>Apr 2025-WEST-51</v>
      </c>
      <c r="K386">
        <f t="shared" si="169"/>
        <v>51</v>
      </c>
      <c r="L386">
        <f t="shared" si="170"/>
        <v>4.53</v>
      </c>
      <c r="M386">
        <f>IF(V386="","",IFERROR(VLOOKUP(TRIM($V386),KEY!$B$2:$E$58,4,FALSE),""))</f>
        <v>53</v>
      </c>
      <c r="N386">
        <f t="shared" si="171"/>
        <v>4</v>
      </c>
      <c r="O386" t="str">
        <f t="shared" si="172"/>
        <v>TO-3</v>
      </c>
      <c r="P386">
        <f t="shared" si="173"/>
        <v>3</v>
      </c>
      <c r="Q386">
        <f t="shared" si="174"/>
        <v>1.03</v>
      </c>
      <c r="R386">
        <f t="shared" si="175"/>
        <v>3</v>
      </c>
      <c r="S386">
        <f t="shared" si="176"/>
        <v>1</v>
      </c>
      <c r="T386" t="str">
        <f>IF(V386="","",IFERROR(VLOOKUP(TRIM($V386),KEY!$B$2:$E$58,2,FALSE),""))</f>
        <v>TO</v>
      </c>
      <c r="V386" s="64" t="s">
        <v>50</v>
      </c>
      <c r="W386" s="64">
        <v>2</v>
      </c>
      <c r="X386" s="64">
        <v>0</v>
      </c>
      <c r="Y386" s="64">
        <v>0</v>
      </c>
      <c r="Z386" s="64">
        <v>0</v>
      </c>
      <c r="AA386" s="64">
        <v>0</v>
      </c>
      <c r="AB386" s="64">
        <v>0</v>
      </c>
      <c r="AC386" s="64">
        <v>0</v>
      </c>
      <c r="AD386" s="64">
        <v>0</v>
      </c>
      <c r="AE386" s="64">
        <v>0</v>
      </c>
      <c r="AF386" s="64">
        <v>0</v>
      </c>
      <c r="AG386" s="64">
        <v>0</v>
      </c>
      <c r="AH386" s="64">
        <v>2</v>
      </c>
      <c r="AI386" s="64">
        <v>1</v>
      </c>
      <c r="AJ386" s="64">
        <v>0</v>
      </c>
      <c r="AK386" s="64">
        <v>0</v>
      </c>
      <c r="AL386" s="64">
        <v>0</v>
      </c>
      <c r="AM386" s="64">
        <v>0</v>
      </c>
    </row>
    <row r="387" spans="2:39" x14ac:dyDescent="0.2">
      <c r="B387" t="str">
        <f t="shared" si="161"/>
        <v>TX-11</v>
      </c>
      <c r="C387" t="str">
        <f t="shared" si="162"/>
        <v>Nov 2024-TX-11</v>
      </c>
      <c r="D387">
        <f t="shared" si="163"/>
        <v>11</v>
      </c>
      <c r="E387">
        <f t="shared" si="164"/>
        <v>1.1100000000000001</v>
      </c>
      <c r="F387">
        <f t="shared" si="165"/>
        <v>11</v>
      </c>
      <c r="G387">
        <f t="shared" si="166"/>
        <v>1</v>
      </c>
      <c r="H387" t="str">
        <f>IF(V387="","",IFERROR(VLOOKUP(TRIM($V387),KEY!$B$2:$E$58,3,FALSE),""))</f>
        <v>TX</v>
      </c>
      <c r="I387" t="str">
        <f t="shared" si="167"/>
        <v>WEST-52</v>
      </c>
      <c r="J387" t="str">
        <f t="shared" si="168"/>
        <v>Apr 2025-WEST-52</v>
      </c>
      <c r="K387">
        <f t="shared" si="169"/>
        <v>52</v>
      </c>
      <c r="L387">
        <f t="shared" si="170"/>
        <v>4.54</v>
      </c>
      <c r="M387">
        <f>IF(V387="","",IFERROR(VLOOKUP(TRIM($V387),KEY!$B$2:$E$58,4,FALSE),""))</f>
        <v>54</v>
      </c>
      <c r="N387">
        <f t="shared" si="171"/>
        <v>4</v>
      </c>
      <c r="O387" t="str">
        <f t="shared" si="172"/>
        <v>TO-4</v>
      </c>
      <c r="P387">
        <f t="shared" si="173"/>
        <v>4</v>
      </c>
      <c r="Q387">
        <f t="shared" si="174"/>
        <v>1.04</v>
      </c>
      <c r="R387">
        <f t="shared" si="175"/>
        <v>4</v>
      </c>
      <c r="S387">
        <f t="shared" si="176"/>
        <v>1</v>
      </c>
      <c r="T387" t="str">
        <f>IF(V387="","",IFERROR(VLOOKUP(TRIM($V387),KEY!$B$2:$E$58,2,FALSE),""))</f>
        <v>TO</v>
      </c>
      <c r="V387" s="64" t="s">
        <v>51</v>
      </c>
      <c r="W387" s="64">
        <v>23</v>
      </c>
      <c r="X387" s="64">
        <v>0</v>
      </c>
      <c r="Y387" s="64">
        <v>0</v>
      </c>
      <c r="Z387" s="64">
        <v>0</v>
      </c>
      <c r="AA387" s="64">
        <v>0</v>
      </c>
      <c r="AB387" s="64">
        <v>0</v>
      </c>
      <c r="AC387" s="64">
        <v>0</v>
      </c>
      <c r="AD387" s="64">
        <v>0</v>
      </c>
      <c r="AE387" s="64">
        <v>0</v>
      </c>
      <c r="AF387" s="64">
        <v>0</v>
      </c>
      <c r="AG387" s="64">
        <v>0</v>
      </c>
      <c r="AH387" s="64">
        <v>23</v>
      </c>
      <c r="AI387" s="64">
        <v>1</v>
      </c>
      <c r="AJ387" s="64">
        <v>0</v>
      </c>
      <c r="AK387" s="64">
        <v>0</v>
      </c>
      <c r="AL387" s="64">
        <v>0</v>
      </c>
      <c r="AM387" s="64">
        <v>0</v>
      </c>
    </row>
    <row r="388" spans="2:39" x14ac:dyDescent="0.2">
      <c r="B388" t="str">
        <f t="shared" si="161"/>
        <v>AZ-17</v>
      </c>
      <c r="C388" t="str">
        <f t="shared" si="162"/>
        <v>Nov 2024-AZ-17</v>
      </c>
      <c r="D388">
        <f t="shared" si="163"/>
        <v>17</v>
      </c>
      <c r="E388">
        <f t="shared" si="164"/>
        <v>1.17</v>
      </c>
      <c r="F388">
        <f t="shared" si="165"/>
        <v>17</v>
      </c>
      <c r="G388">
        <f t="shared" si="166"/>
        <v>1</v>
      </c>
      <c r="H388" t="str">
        <f>IF(V388="","",IFERROR(VLOOKUP(TRIM($V388),KEY!$B$2:$E$58,3,FALSE),""))</f>
        <v>AZ</v>
      </c>
      <c r="I388" t="str">
        <f t="shared" si="167"/>
        <v>WEST-53</v>
      </c>
      <c r="J388" t="str">
        <f t="shared" si="168"/>
        <v>Apr 2025-WEST-53</v>
      </c>
      <c r="K388">
        <f t="shared" si="169"/>
        <v>53</v>
      </c>
      <c r="L388">
        <f t="shared" si="170"/>
        <v>4.55</v>
      </c>
      <c r="M388">
        <f>IF(V388="","",IFERROR(VLOOKUP(TRIM($V388),KEY!$B$2:$E$58,4,FALSE),""))</f>
        <v>55</v>
      </c>
      <c r="N388">
        <f t="shared" si="171"/>
        <v>4</v>
      </c>
      <c r="O388" t="str">
        <f t="shared" si="172"/>
        <v>TO-5</v>
      </c>
      <c r="P388">
        <f t="shared" si="173"/>
        <v>5</v>
      </c>
      <c r="Q388">
        <f t="shared" si="174"/>
        <v>1.05</v>
      </c>
      <c r="R388">
        <f t="shared" si="175"/>
        <v>5</v>
      </c>
      <c r="S388">
        <f t="shared" si="176"/>
        <v>1</v>
      </c>
      <c r="T388" t="str">
        <f>IF(V388="","",IFERROR(VLOOKUP(TRIM($V388),KEY!$B$2:$E$58,2,FALSE),""))</f>
        <v>TO</v>
      </c>
      <c r="V388" s="64" t="s">
        <v>52</v>
      </c>
      <c r="W388" s="64">
        <v>6</v>
      </c>
      <c r="X388" s="64">
        <v>0</v>
      </c>
      <c r="Y388" s="64">
        <v>0</v>
      </c>
      <c r="Z388" s="64">
        <v>0</v>
      </c>
      <c r="AA388" s="64">
        <v>0</v>
      </c>
      <c r="AB388" s="64">
        <v>0</v>
      </c>
      <c r="AC388" s="64">
        <v>0</v>
      </c>
      <c r="AD388" s="64">
        <v>0</v>
      </c>
      <c r="AE388" s="64">
        <v>0</v>
      </c>
      <c r="AF388" s="64">
        <v>0</v>
      </c>
      <c r="AG388" s="64">
        <v>0</v>
      </c>
      <c r="AH388" s="64">
        <v>6</v>
      </c>
      <c r="AI388" s="64">
        <v>1</v>
      </c>
      <c r="AJ388" s="64">
        <v>0</v>
      </c>
      <c r="AK388" s="64">
        <v>0</v>
      </c>
      <c r="AL388" s="64">
        <v>0</v>
      </c>
      <c r="AM388" s="64">
        <v>0</v>
      </c>
    </row>
    <row r="389" spans="2:39" x14ac:dyDescent="0.2">
      <c r="B389" t="str">
        <f t="shared" si="161"/>
        <v>AZ-18</v>
      </c>
      <c r="C389" t="str">
        <f t="shared" si="162"/>
        <v>Nov 2024-AZ-18</v>
      </c>
      <c r="D389">
        <f t="shared" si="163"/>
        <v>18</v>
      </c>
      <c r="E389">
        <f t="shared" si="164"/>
        <v>1.18</v>
      </c>
      <c r="F389">
        <f t="shared" si="165"/>
        <v>18</v>
      </c>
      <c r="G389">
        <f t="shared" si="166"/>
        <v>1</v>
      </c>
      <c r="H389" t="str">
        <f>IF(V389="","",IFERROR(VLOOKUP(TRIM($V389),KEY!$B$2:$E$58,3,FALSE),""))</f>
        <v>AZ</v>
      </c>
      <c r="I389" t="str">
        <f t="shared" si="167"/>
        <v>WEST-54</v>
      </c>
      <c r="J389" t="str">
        <f t="shared" si="168"/>
        <v>Apr 2025-WEST-54</v>
      </c>
      <c r="K389">
        <f t="shared" si="169"/>
        <v>54</v>
      </c>
      <c r="L389">
        <f t="shared" si="170"/>
        <v>4.5600000000000005</v>
      </c>
      <c r="M389">
        <f>IF(V389="","",IFERROR(VLOOKUP(TRIM($V389),KEY!$B$2:$E$58,4,FALSE),""))</f>
        <v>56</v>
      </c>
      <c r="N389">
        <f t="shared" si="171"/>
        <v>4</v>
      </c>
      <c r="O389" t="str">
        <f t="shared" si="172"/>
        <v>VW-1</v>
      </c>
      <c r="P389">
        <f t="shared" si="173"/>
        <v>1</v>
      </c>
      <c r="Q389">
        <f t="shared" si="174"/>
        <v>1.01</v>
      </c>
      <c r="R389">
        <f t="shared" si="175"/>
        <v>1</v>
      </c>
      <c r="S389">
        <f t="shared" si="176"/>
        <v>1</v>
      </c>
      <c r="T389" t="str">
        <f>IF(V389="","",IFERROR(VLOOKUP(TRIM($V389),KEY!$B$2:$E$58,2,FALSE),""))</f>
        <v>VW</v>
      </c>
      <c r="V389" t="s">
        <v>53</v>
      </c>
      <c r="W389">
        <v>14</v>
      </c>
      <c r="X389">
        <v>0</v>
      </c>
      <c r="Y389">
        <v>0</v>
      </c>
      <c r="Z389">
        <v>1</v>
      </c>
      <c r="AA389">
        <v>0</v>
      </c>
      <c r="AB389">
        <v>0</v>
      </c>
      <c r="AC389">
        <v>0</v>
      </c>
      <c r="AD389">
        <v>1</v>
      </c>
      <c r="AE389">
        <v>7.1428571428571425E-2</v>
      </c>
      <c r="AF389">
        <v>0</v>
      </c>
      <c r="AG389">
        <v>0</v>
      </c>
      <c r="AH389">
        <v>13</v>
      </c>
      <c r="AI389">
        <v>0.9285714285714286</v>
      </c>
      <c r="AJ389">
        <v>0</v>
      </c>
      <c r="AK389">
        <v>0</v>
      </c>
      <c r="AL389">
        <v>0</v>
      </c>
      <c r="AM389">
        <v>0</v>
      </c>
    </row>
    <row r="390" spans="2:39" x14ac:dyDescent="0.2">
      <c r="B390" t="str">
        <f t="shared" si="161"/>
        <v>OC-9</v>
      </c>
      <c r="C390" t="str">
        <f t="shared" si="162"/>
        <v>Nov 2024-OC-9</v>
      </c>
      <c r="D390">
        <f t="shared" si="163"/>
        <v>9</v>
      </c>
      <c r="E390">
        <f t="shared" si="164"/>
        <v>2.09</v>
      </c>
      <c r="F390">
        <f t="shared" si="165"/>
        <v>9</v>
      </c>
      <c r="G390">
        <f t="shared" si="166"/>
        <v>2</v>
      </c>
      <c r="H390" t="str">
        <f>IF(V390="","",IFERROR(VLOOKUP(TRIM($V390),KEY!$B$2:$E$58,3,FALSE),""))</f>
        <v>OC</v>
      </c>
      <c r="I390" t="str">
        <f t="shared" si="167"/>
        <v>WEST-55</v>
      </c>
      <c r="J390" t="str">
        <f t="shared" si="168"/>
        <v>Apr 2025-WEST-55</v>
      </c>
      <c r="K390">
        <f t="shared" si="169"/>
        <v>55</v>
      </c>
      <c r="L390">
        <f t="shared" si="170"/>
        <v>4.57</v>
      </c>
      <c r="M390">
        <f>IF(V390="","",IFERROR(VLOOKUP(TRIM($V390),KEY!$B$2:$E$58,4,FALSE),""))</f>
        <v>57</v>
      </c>
      <c r="N390">
        <f t="shared" si="171"/>
        <v>4</v>
      </c>
      <c r="O390" t="str">
        <f t="shared" si="172"/>
        <v>VW-2</v>
      </c>
      <c r="P390">
        <f t="shared" si="173"/>
        <v>2</v>
      </c>
      <c r="Q390">
        <f t="shared" si="174"/>
        <v>1.02</v>
      </c>
      <c r="R390">
        <f t="shared" si="175"/>
        <v>2</v>
      </c>
      <c r="S390">
        <f t="shared" si="176"/>
        <v>1</v>
      </c>
      <c r="T390" t="str">
        <f>IF(V390="","",IFERROR(VLOOKUP(TRIM($V390),KEY!$B$2:$E$58,2,FALSE),""))</f>
        <v>VW</v>
      </c>
      <c r="V390" t="s">
        <v>54</v>
      </c>
      <c r="W390">
        <v>22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22</v>
      </c>
      <c r="AG390">
        <v>0</v>
      </c>
      <c r="AH390">
        <v>0</v>
      </c>
      <c r="AI390">
        <v>1</v>
      </c>
      <c r="AJ390">
        <v>0</v>
      </c>
      <c r="AK390">
        <v>0</v>
      </c>
      <c r="AL390">
        <v>0</v>
      </c>
      <c r="AM390">
        <v>0</v>
      </c>
    </row>
    <row r="391" spans="2:39" x14ac:dyDescent="0.2">
      <c r="W391" s="1">
        <f t="shared" ref="W391:X391" si="177">SUM(W334:W390)</f>
        <v>887</v>
      </c>
      <c r="X391" s="1">
        <f t="shared" si="177"/>
        <v>17</v>
      </c>
      <c r="Y391" s="3">
        <f>X391/W391</f>
        <v>1.9165727170236752E-2</v>
      </c>
      <c r="Z391" s="1">
        <f t="shared" ref="Z391:AD391" si="178">SUM(Z334:Z390)</f>
        <v>1</v>
      </c>
      <c r="AA391" s="1">
        <f t="shared" si="178"/>
        <v>17</v>
      </c>
      <c r="AB391" s="1">
        <f t="shared" si="178"/>
        <v>0</v>
      </c>
      <c r="AC391" s="1">
        <f t="shared" si="178"/>
        <v>1</v>
      </c>
      <c r="AD391" s="1">
        <f t="shared" si="178"/>
        <v>19</v>
      </c>
      <c r="AE391" s="3">
        <f>AD391/W391</f>
        <v>2.1420518602029311E-2</v>
      </c>
      <c r="AF391" s="1">
        <f>SUM(AF334:AF390)</f>
        <v>147</v>
      </c>
      <c r="AG391" s="1">
        <f>SUM(AG334:AG390)</f>
        <v>0</v>
      </c>
      <c r="AH391" s="1">
        <f>SUM(AH334:AH390)</f>
        <v>716</v>
      </c>
      <c r="AI391" s="3">
        <f>(AF391+AG391+AH391)/W391</f>
        <v>0.97294250281848926</v>
      </c>
      <c r="AJ391" s="1">
        <f>SUM(AJ334:AJ390)</f>
        <v>1</v>
      </c>
      <c r="AK391" s="1">
        <f>SUM(AK334:AK390)</f>
        <v>4</v>
      </c>
      <c r="AL391" s="1">
        <f>SUM(AL334:AL390)</f>
        <v>0</v>
      </c>
      <c r="AM391" s="3">
        <f>(AJ391+AK391+AL391)/W391</f>
        <v>5.6369785794813977E-3</v>
      </c>
    </row>
    <row r="392" spans="2:39" x14ac:dyDescent="0.2">
      <c r="J392" t="str">
        <f ca="1">$AB$1&amp;"-"&amp;O392</f>
        <v>Apr 2025-RGN-3</v>
      </c>
      <c r="N392" t="s">
        <v>98</v>
      </c>
      <c r="O392" t="str">
        <f ca="1">T392&amp;"-"&amp;P392</f>
        <v>RGN-3</v>
      </c>
      <c r="P392">
        <f ca="1">COUNTIFS($T$392:$T$396,T392,$Q$392:$Q$396,"&lt;"&amp;Q392)+1</f>
        <v>3</v>
      </c>
      <c r="Q392">
        <f t="shared" ref="Q392:Q396" ca="1" si="179">S392+(R392/100)</f>
        <v>3.01</v>
      </c>
      <c r="R392">
        <f>COUNTIFS($T$392:$T$396,T392,$V$392:$V$396,"&lt;"&amp;V392)+1</f>
        <v>1</v>
      </c>
      <c r="S392">
        <f ca="1">COUNTIFS($T$392:$T$396,T392,$Y$392:$Y$396,"&gt;"&amp;Y392)+1</f>
        <v>3</v>
      </c>
      <c r="T392" t="s">
        <v>158</v>
      </c>
      <c r="V392" t="s">
        <v>247</v>
      </c>
      <c r="W392" s="1">
        <f ca="1">SUMIF($H$334:W$390,$N392,W$334:W$390)</f>
        <v>191</v>
      </c>
      <c r="X392" s="1">
        <f ca="1">SUMIF($H$334:X$390,$N392,X$334:X$390)</f>
        <v>0</v>
      </c>
      <c r="Y392" s="3">
        <f t="shared" ref="Y392:Y396" ca="1" si="180">X392/W392</f>
        <v>0</v>
      </c>
      <c r="Z392" s="1">
        <f ca="1">SUMIF($H$334:Z$390,$N392,Z$334:Z$390)</f>
        <v>1</v>
      </c>
      <c r="AA392" s="1">
        <f ca="1">SUMIF($H$334:AA$390,$N392,AA$334:AA$390)</f>
        <v>0</v>
      </c>
      <c r="AB392" s="1">
        <f ca="1">SUMIF($H$334:AB$390,$N392,AB$334:AB$390)</f>
        <v>0</v>
      </c>
      <c r="AC392" s="1">
        <f ca="1">SUMIF($H$334:AC$390,$N392,AC$334:AC$390)</f>
        <v>0</v>
      </c>
      <c r="AD392" s="1">
        <f ca="1">SUMIF($H$334:AD$390,$N392,AD$334:AD$390)</f>
        <v>1</v>
      </c>
      <c r="AE392" s="3">
        <f t="shared" ref="AE392:AE396" ca="1" si="181">AD392/W392</f>
        <v>5.235602094240838E-3</v>
      </c>
      <c r="AF392" s="1">
        <f ca="1">SUMIF($H$334:AF$390,$N392,AF$334:AF$390)</f>
        <v>53</v>
      </c>
      <c r="AG392" s="1">
        <f ca="1">SUMIF($H$334:AG$390,$N392,AG$334:AG$390)</f>
        <v>0</v>
      </c>
      <c r="AH392" s="1">
        <f ca="1">SUMIF($H$334:AH$390,$N392,AH$334:AH$390)</f>
        <v>133</v>
      </c>
      <c r="AI392" s="3">
        <f t="shared" ref="AI392:AI396" ca="1" si="182">(AF392+AG392+AH392)/W392</f>
        <v>0.97382198952879584</v>
      </c>
      <c r="AJ392" s="1">
        <f ca="1">SUMIF($H$334:AJ$390,$N392,AJ$334:AJ$390)</f>
        <v>0</v>
      </c>
      <c r="AK392" s="1">
        <f ca="1">SUMIF($H$334:AK$390,$N392,AK$334:AK$390)</f>
        <v>4</v>
      </c>
      <c r="AL392" s="1">
        <f ca="1">SUMIF($H$334:AL$390,$N392,AL$334:AL$390)</f>
        <v>0</v>
      </c>
      <c r="AM392" s="3">
        <f t="shared" ref="AM392:AM396" ca="1" si="183">(AJ392+AK392+AL392)/W392</f>
        <v>2.0942408376963352E-2</v>
      </c>
    </row>
    <row r="393" spans="2:39" x14ac:dyDescent="0.2">
      <c r="J393" t="str">
        <f t="shared" ref="J393:J396" ca="1" si="184">$AB$1&amp;"-"&amp;O393</f>
        <v>Apr 2025-RGN-4</v>
      </c>
      <c r="N393" t="s">
        <v>102</v>
      </c>
      <c r="O393" t="str">
        <f t="shared" ref="O393:O396" ca="1" si="185">T393&amp;"-"&amp;P393</f>
        <v>RGN-4</v>
      </c>
      <c r="P393">
        <f ca="1">COUNTIFS($T$392:$T$396,T393,$Q$392:$Q$396,"&lt;"&amp;Q393)+1</f>
        <v>4</v>
      </c>
      <c r="Q393">
        <f t="shared" ca="1" si="179"/>
        <v>3.02</v>
      </c>
      <c r="R393">
        <f>COUNTIFS($T$392:$T$396,T393,$V$392:$V$396,"&lt;"&amp;V393)+1</f>
        <v>2</v>
      </c>
      <c r="S393">
        <f ca="1">COUNTIFS($T$392:$T$396,T393,$Y$392:$Y$396,"&gt;"&amp;Y393)+1</f>
        <v>3</v>
      </c>
      <c r="T393" t="s">
        <v>158</v>
      </c>
      <c r="V393" t="s">
        <v>268</v>
      </c>
      <c r="W393" s="1">
        <f ca="1">SUMIF($H$334:W$390,$N393,W$334:W$390)</f>
        <v>156</v>
      </c>
      <c r="X393" s="1">
        <f ca="1">SUMIF($H$334:X$390,$N393,X$334:X$390)</f>
        <v>0</v>
      </c>
      <c r="Y393" s="3">
        <f t="shared" ca="1" si="180"/>
        <v>0</v>
      </c>
      <c r="Z393" s="1">
        <f ca="1">SUMIF($H$334:Z$390,$N393,Z$334:Z$390)</f>
        <v>0</v>
      </c>
      <c r="AA393" s="1">
        <f ca="1">SUMIF($H$334:AA$390,$N393,AA$334:AA$390)</f>
        <v>0</v>
      </c>
      <c r="AB393" s="1">
        <f ca="1">SUMIF($H$334:AB$390,$N393,AB$334:AB$390)</f>
        <v>0</v>
      </c>
      <c r="AC393" s="1">
        <f ca="1">SUMIF($H$334:AC$390,$N393,AC$334:AC$390)</f>
        <v>1</v>
      </c>
      <c r="AD393" s="1">
        <f ca="1">SUMIF($H$334:AD$390,$N393,AD$334:AD$390)</f>
        <v>1</v>
      </c>
      <c r="AE393" s="3">
        <f t="shared" ca="1" si="181"/>
        <v>6.41025641025641E-3</v>
      </c>
      <c r="AF393" s="1">
        <f ca="1">SUMIF($H$334:AF$390,$N393,AF$334:AF$390)</f>
        <v>51</v>
      </c>
      <c r="AG393" s="1">
        <f ca="1">SUMIF($H$334:AG$390,$N393,AG$334:AG$390)</f>
        <v>0</v>
      </c>
      <c r="AH393" s="1">
        <f ca="1">SUMIF($H$334:AH$390,$N393,AH$334:AH$390)</f>
        <v>104</v>
      </c>
      <c r="AI393" s="3">
        <f t="shared" ca="1" si="182"/>
        <v>0.99358974358974361</v>
      </c>
      <c r="AJ393" s="1">
        <f ca="1">SUMIF($H$334:AJ$390,$N393,AJ$334:AJ$390)</f>
        <v>0</v>
      </c>
      <c r="AK393" s="1">
        <f ca="1">SUMIF($H$334:AK$390,$N393,AK$334:AK$390)</f>
        <v>0</v>
      </c>
      <c r="AL393" s="1">
        <f ca="1">SUMIF($H$334:AL$390,$N393,AL$334:AL$390)</f>
        <v>0</v>
      </c>
      <c r="AM393" s="3">
        <f t="shared" ca="1" si="183"/>
        <v>0</v>
      </c>
    </row>
    <row r="394" spans="2:39" x14ac:dyDescent="0.2">
      <c r="J394" t="str">
        <f t="shared" ca="1" si="184"/>
        <v>Apr 2025-RGN-1</v>
      </c>
      <c r="N394" t="s">
        <v>100</v>
      </c>
      <c r="O394" t="str">
        <f t="shared" ca="1" si="185"/>
        <v>RGN-1</v>
      </c>
      <c r="P394">
        <f ca="1">COUNTIFS($T$392:$T$396,T394,$Q$392:$Q$396,"&lt;"&amp;Q394)+1</f>
        <v>1</v>
      </c>
      <c r="Q394">
        <f t="shared" ca="1" si="179"/>
        <v>1.03</v>
      </c>
      <c r="R394">
        <f>COUNTIFS($T$392:$T$396,T394,$V$392:$V$396,"&lt;"&amp;V394)+1</f>
        <v>3</v>
      </c>
      <c r="S394">
        <f ca="1">COUNTIFS($T$392:$T$396,T394,$Y$392:$Y$396,"&gt;"&amp;Y394)+1</f>
        <v>1</v>
      </c>
      <c r="T394" t="s">
        <v>158</v>
      </c>
      <c r="V394" t="s">
        <v>251</v>
      </c>
      <c r="W394" s="1">
        <f ca="1">SUMIF($H$334:W$390,$N394,W$334:W$390)</f>
        <v>219</v>
      </c>
      <c r="X394" s="1">
        <f ca="1">SUMIF($H$334:X$390,$N394,X$334:X$390)</f>
        <v>10</v>
      </c>
      <c r="Y394" s="3">
        <f t="shared" ca="1" si="180"/>
        <v>4.5662100456621002E-2</v>
      </c>
      <c r="Z394" s="1">
        <f ca="1">SUMIF($H$334:Z$390,$N394,Z$334:Z$390)</f>
        <v>0</v>
      </c>
      <c r="AA394" s="1">
        <f ca="1">SUMIF($H$334:AA$390,$N394,AA$334:AA$390)</f>
        <v>10</v>
      </c>
      <c r="AB394" s="1">
        <f ca="1">SUMIF($H$334:AB$390,$N394,AB$334:AB$390)</f>
        <v>0</v>
      </c>
      <c r="AC394" s="1">
        <f ca="1">SUMIF($H$334:AC$390,$N394,AC$334:AC$390)</f>
        <v>0</v>
      </c>
      <c r="AD394" s="1">
        <f ca="1">SUMIF($H$334:AD$390,$N394,AD$334:AD$390)</f>
        <v>10</v>
      </c>
      <c r="AE394" s="3">
        <f t="shared" ca="1" si="181"/>
        <v>4.5662100456621002E-2</v>
      </c>
      <c r="AF394" s="1">
        <f ca="1">SUMIF($H$334:AF$390,$N394,AF$334:AF$390)</f>
        <v>24</v>
      </c>
      <c r="AG394" s="1">
        <f ca="1">SUMIF($H$334:AG$390,$N394,AG$334:AG$390)</f>
        <v>0</v>
      </c>
      <c r="AH394" s="1">
        <f ca="1">SUMIF($H$334:AH$390,$N394,AH$334:AH$390)</f>
        <v>185</v>
      </c>
      <c r="AI394" s="3">
        <f t="shared" ca="1" si="182"/>
        <v>0.954337899543379</v>
      </c>
      <c r="AJ394" s="1">
        <f ca="1">SUMIF($H$334:AJ$390,$N394,AJ$334:AJ$390)</f>
        <v>0</v>
      </c>
      <c r="AK394" s="1">
        <f ca="1">SUMIF($H$334:AK$390,$N394,AK$334:AK$390)</f>
        <v>0</v>
      </c>
      <c r="AL394" s="1">
        <f ca="1">SUMIF($H$334:AL$390,$N394,AL$334:AL$390)</f>
        <v>0</v>
      </c>
      <c r="AM394" s="3">
        <f t="shared" ca="1" si="183"/>
        <v>0</v>
      </c>
    </row>
    <row r="395" spans="2:39" x14ac:dyDescent="0.2">
      <c r="J395" t="str">
        <f t="shared" ca="1" si="184"/>
        <v>Apr 2025-RGN-2</v>
      </c>
      <c r="N395" t="s">
        <v>99</v>
      </c>
      <c r="O395" t="str">
        <f t="shared" ca="1" si="185"/>
        <v>RGN-2</v>
      </c>
      <c r="P395">
        <f ca="1">COUNTIFS($T$392:$T$396,T395,$Q$392:$Q$396,"&lt;"&amp;Q395)+1</f>
        <v>2</v>
      </c>
      <c r="Q395">
        <f t="shared" ca="1" si="179"/>
        <v>2.04</v>
      </c>
      <c r="R395">
        <f>COUNTIFS($T$392:$T$396,T395,$V$392:$V$396,"&lt;"&amp;V395)+1</f>
        <v>4</v>
      </c>
      <c r="S395">
        <f ca="1">COUNTIFS($T$392:$T$396,T395,$Y$392:$Y$396,"&gt;"&amp;Y395)+1</f>
        <v>2</v>
      </c>
      <c r="T395" t="s">
        <v>158</v>
      </c>
      <c r="V395" t="s">
        <v>269</v>
      </c>
      <c r="W395" s="1">
        <f ca="1">SUMIF($H$334:W$390,$N395,W$334:W$390)</f>
        <v>206</v>
      </c>
      <c r="X395" s="1">
        <f ca="1">SUMIF($H$334:X$390,$N395,X$334:X$390)</f>
        <v>7</v>
      </c>
      <c r="Y395" s="3">
        <f t="shared" ca="1" si="180"/>
        <v>3.3980582524271843E-2</v>
      </c>
      <c r="Z395" s="1">
        <f ca="1">SUMIF($H$334:Z$390,$N395,Z$334:Z$390)</f>
        <v>0</v>
      </c>
      <c r="AA395" s="1">
        <f ca="1">SUMIF($H$334:AA$390,$N395,AA$334:AA$390)</f>
        <v>7</v>
      </c>
      <c r="AB395" s="1">
        <f ca="1">SUMIF($H$334:AB$390,$N395,AB$334:AB$390)</f>
        <v>0</v>
      </c>
      <c r="AC395" s="1">
        <f ca="1">SUMIF($H$334:AC$390,$N395,AC$334:AC$390)</f>
        <v>0</v>
      </c>
      <c r="AD395" s="1">
        <f ca="1">SUMIF($H$334:AD$390,$N395,AD$334:AD$390)</f>
        <v>7</v>
      </c>
      <c r="AE395" s="3">
        <f t="shared" ca="1" si="181"/>
        <v>3.3980582524271843E-2</v>
      </c>
      <c r="AF395" s="1">
        <f ca="1">SUMIF($H$334:AF$390,$N395,AF$334:AF$390)</f>
        <v>3</v>
      </c>
      <c r="AG395" s="1">
        <f ca="1">SUMIF($H$334:AG$390,$N395,AG$334:AG$390)</f>
        <v>0</v>
      </c>
      <c r="AH395" s="1">
        <f ca="1">SUMIF($H$334:AH$390,$N395,AH$334:AH$390)</f>
        <v>195</v>
      </c>
      <c r="AI395" s="3">
        <f t="shared" ca="1" si="182"/>
        <v>0.96116504854368934</v>
      </c>
      <c r="AJ395" s="1">
        <f ca="1">SUMIF($H$334:AJ$390,$N395,AJ$334:AJ$390)</f>
        <v>1</v>
      </c>
      <c r="AK395" s="1">
        <f ca="1">SUMIF($H$334:AK$390,$N395,AK$334:AK$390)</f>
        <v>0</v>
      </c>
      <c r="AL395" s="1">
        <f ca="1">SUMIF($H$334:AL$390,$N395,AL$334:AL$390)</f>
        <v>0</v>
      </c>
      <c r="AM395" s="3">
        <f t="shared" ca="1" si="183"/>
        <v>4.8543689320388345E-3</v>
      </c>
    </row>
    <row r="396" spans="2:39" x14ac:dyDescent="0.2">
      <c r="J396" t="str">
        <f t="shared" ca="1" si="184"/>
        <v>Apr 2025-RGN-5</v>
      </c>
      <c r="N396" t="s">
        <v>101</v>
      </c>
      <c r="O396" t="str">
        <f t="shared" ca="1" si="185"/>
        <v>RGN-5</v>
      </c>
      <c r="P396">
        <f ca="1">COUNTIFS($T$392:$T$396,T396,$Q$392:$Q$396,"&lt;"&amp;Q396)+1</f>
        <v>5</v>
      </c>
      <c r="Q396">
        <f t="shared" ca="1" si="179"/>
        <v>3.05</v>
      </c>
      <c r="R396">
        <f>COUNTIFS($T$392:$T$396,T396,$V$392:$V$396,"&lt;"&amp;V396)+1</f>
        <v>5</v>
      </c>
      <c r="S396">
        <f ca="1">COUNTIFS($T$392:$T$396,T396,$Y$392:$Y$396,"&gt;"&amp;Y396)+1</f>
        <v>3</v>
      </c>
      <c r="T396" t="s">
        <v>158</v>
      </c>
      <c r="V396" t="s">
        <v>252</v>
      </c>
      <c r="W396" s="1">
        <f ca="1">SUMIF($H$334:W$390,$N396,W$334:W$390)</f>
        <v>115</v>
      </c>
      <c r="X396" s="1">
        <f ca="1">SUMIF($H$334:X$390,$N396,X$334:X$390)</f>
        <v>0</v>
      </c>
      <c r="Y396" s="3">
        <f t="shared" ca="1" si="180"/>
        <v>0</v>
      </c>
      <c r="Z396" s="1">
        <f ca="1">SUMIF($H$334:Z$390,$N396,Z$334:Z$390)</f>
        <v>0</v>
      </c>
      <c r="AA396" s="1">
        <f ca="1">SUMIF($H$334:AA$390,$N396,AA$334:AA$390)</f>
        <v>0</v>
      </c>
      <c r="AB396" s="1">
        <f ca="1">SUMIF($H$334:AB$390,$N396,AB$334:AB$390)</f>
        <v>0</v>
      </c>
      <c r="AC396" s="1">
        <f ca="1">SUMIF($H$334:AC$390,$N396,AC$334:AC$390)</f>
        <v>0</v>
      </c>
      <c r="AD396" s="1">
        <f ca="1">SUMIF($H$334:AD$390,$N396,AD$334:AD$390)</f>
        <v>0</v>
      </c>
      <c r="AE396" s="3">
        <f t="shared" ca="1" si="181"/>
        <v>0</v>
      </c>
      <c r="AF396" s="1">
        <f ca="1">SUMIF($H$334:AF$390,$N396,AF$334:AF$390)</f>
        <v>16</v>
      </c>
      <c r="AG396" s="1">
        <f ca="1">SUMIF($H$334:AG$390,$N396,AG$334:AG$390)</f>
        <v>0</v>
      </c>
      <c r="AH396" s="1">
        <f ca="1">SUMIF($H$334:AH$390,$N396,AH$334:AH$390)</f>
        <v>99</v>
      </c>
      <c r="AI396" s="3">
        <f t="shared" ca="1" si="182"/>
        <v>1</v>
      </c>
      <c r="AJ396" s="1">
        <f ca="1">SUMIF($H$334:AJ$390,$N396,AJ$334:AJ$390)</f>
        <v>0</v>
      </c>
      <c r="AK396" s="1">
        <f ca="1">SUMIF($H$334:AK$390,$N396,AK$334:AK$390)</f>
        <v>0</v>
      </c>
      <c r="AL396" s="1">
        <f ca="1">SUMIF($H$334:AL$390,$N396,AL$334:AL$390)</f>
        <v>0</v>
      </c>
      <c r="AM396" s="3">
        <f t="shared" ca="1" si="183"/>
        <v>0</v>
      </c>
    </row>
  </sheetData>
  <sortState xmlns:xlrd2="http://schemas.microsoft.com/office/spreadsheetml/2017/richdata2" ref="V4:AM59">
    <sortCondition ref="V4:V59"/>
  </sortState>
  <mergeCells count="6">
    <mergeCell ref="C332:AM332"/>
    <mergeCell ref="C2:AM2"/>
    <mergeCell ref="C68:AM68"/>
    <mergeCell ref="C134:AM134"/>
    <mergeCell ref="C200:AM200"/>
    <mergeCell ref="C266:AM26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C536-6CE7-3A4B-81EF-9FF6AF83DCEC}">
  <sheetPr>
    <tabColor rgb="FF00B0F0"/>
  </sheetPr>
  <dimension ref="A1:T69"/>
  <sheetViews>
    <sheetView topLeftCell="B1" workbookViewId="0">
      <selection activeCell="U212" sqref="B1:U1048576"/>
    </sheetView>
  </sheetViews>
  <sheetFormatPr baseColWidth="10" defaultColWidth="9.1640625" defaultRowHeight="15" x14ac:dyDescent="0.2"/>
  <cols>
    <col min="1" max="1" width="9.1640625" style="48" hidden="1" customWidth="1"/>
    <col min="2" max="2" width="28.1640625" style="49" bestFit="1" customWidth="1"/>
    <col min="3" max="3" width="12.33203125" style="49" bestFit="1" customWidth="1"/>
    <col min="4" max="4" width="15.83203125" style="49" bestFit="1" customWidth="1"/>
    <col min="5" max="6" width="9.1640625" style="49"/>
    <col min="7" max="7" width="16.5" style="49" bestFit="1" customWidth="1"/>
    <col min="8" max="8" width="21.5" style="50" bestFit="1" customWidth="1"/>
    <col min="9" max="10" width="0" style="50" hidden="1" customWidth="1"/>
    <col min="11" max="15" width="9.1640625" style="50"/>
    <col min="16" max="19" width="9.1640625" style="48"/>
    <col min="20" max="20" width="0" style="48" hidden="1" customWidth="1"/>
    <col min="21" max="16384" width="9.1640625" style="48"/>
  </cols>
  <sheetData>
    <row r="1" spans="1:20" ht="15" customHeight="1" x14ac:dyDescent="0.2">
      <c r="A1" s="48">
        <v>0</v>
      </c>
      <c r="B1" s="51" t="s">
        <v>238</v>
      </c>
      <c r="C1" s="51" t="s">
        <v>241</v>
      </c>
      <c r="D1" s="51" t="s">
        <v>242</v>
      </c>
      <c r="E1" s="51" t="s">
        <v>255</v>
      </c>
      <c r="F1" s="51"/>
      <c r="G1" s="52" t="s">
        <v>243</v>
      </c>
      <c r="H1" s="52" t="s">
        <v>244</v>
      </c>
      <c r="I1" s="52" t="s">
        <v>245</v>
      </c>
      <c r="J1" s="52" t="s">
        <v>246</v>
      </c>
      <c r="K1" s="52"/>
      <c r="L1" s="51"/>
      <c r="M1" s="51"/>
      <c r="N1" s="51"/>
      <c r="O1" s="51"/>
    </row>
    <row r="2" spans="1:20" ht="15" customHeight="1" x14ac:dyDescent="0.2">
      <c r="A2" s="48">
        <f>A1+1</f>
        <v>1</v>
      </c>
      <c r="B2" s="49" t="s">
        <v>9</v>
      </c>
      <c r="C2" s="49" t="s">
        <v>81</v>
      </c>
      <c r="D2" s="49" t="s">
        <v>98</v>
      </c>
      <c r="E2" s="55">
        <f>A2</f>
        <v>1</v>
      </c>
      <c r="G2" s="53" t="str">
        <f>"-"&amp;"PAG WEST"</f>
        <v>-PAG WEST</v>
      </c>
      <c r="H2" s="54" t="s">
        <v>248</v>
      </c>
      <c r="I2" s="54">
        <v>0</v>
      </c>
      <c r="J2" s="54">
        <v>5</v>
      </c>
      <c r="K2" s="54"/>
      <c r="T2" s="48" t="s">
        <v>98</v>
      </c>
    </row>
    <row r="3" spans="1:20" ht="15" customHeight="1" x14ac:dyDescent="0.2">
      <c r="A3" s="48">
        <f t="shared" ref="A3:A61" si="0">A2+1</f>
        <v>2</v>
      </c>
      <c r="B3" s="49" t="s">
        <v>10</v>
      </c>
      <c r="C3" s="49" t="s">
        <v>81</v>
      </c>
      <c r="D3" s="49" t="s">
        <v>99</v>
      </c>
      <c r="E3" s="55">
        <f t="shared" ref="E3:E27" si="1">A3</f>
        <v>2</v>
      </c>
      <c r="G3" s="53" t="str">
        <f>"-"&amp;H3</f>
        <v>-Arizona</v>
      </c>
      <c r="H3" s="55" t="s">
        <v>247</v>
      </c>
      <c r="I3" s="54">
        <v>1</v>
      </c>
      <c r="J3" s="54">
        <f>COUNTIF($D$2:$D$58,H3)</f>
        <v>0</v>
      </c>
      <c r="K3" s="54"/>
      <c r="T3" s="48" t="s">
        <v>99</v>
      </c>
    </row>
    <row r="4" spans="1:20" ht="15" customHeight="1" x14ac:dyDescent="0.2">
      <c r="A4" s="48">
        <f t="shared" si="0"/>
        <v>3</v>
      </c>
      <c r="B4" s="49" t="s">
        <v>11</v>
      </c>
      <c r="C4" s="49" t="s">
        <v>82</v>
      </c>
      <c r="D4" s="49" t="s">
        <v>98</v>
      </c>
      <c r="E4" s="55">
        <f t="shared" si="1"/>
        <v>3</v>
      </c>
      <c r="G4" s="53" t="str">
        <f t="shared" ref="G4:G7" si="2">"-"&amp;H4</f>
        <v>-Northern California</v>
      </c>
      <c r="H4" s="55" t="s">
        <v>250</v>
      </c>
      <c r="I4" s="54">
        <v>1</v>
      </c>
      <c r="J4" s="54">
        <f>COUNTIF($D$2:$D$57,H4)</f>
        <v>0</v>
      </c>
      <c r="K4" s="54"/>
      <c r="T4" s="48" t="s">
        <v>98</v>
      </c>
    </row>
    <row r="5" spans="1:20" ht="15" customHeight="1" x14ac:dyDescent="0.2">
      <c r="A5" s="48">
        <f t="shared" si="0"/>
        <v>4</v>
      </c>
      <c r="B5" s="49" t="s">
        <v>12</v>
      </c>
      <c r="C5" s="49" t="s">
        <v>82</v>
      </c>
      <c r="D5" s="49" t="s">
        <v>99</v>
      </c>
      <c r="E5" s="55">
        <f t="shared" si="1"/>
        <v>4</v>
      </c>
      <c r="G5" s="53" t="str">
        <f t="shared" si="2"/>
        <v>-Orange County</v>
      </c>
      <c r="H5" s="55" t="s">
        <v>251</v>
      </c>
      <c r="I5" s="54">
        <v>1</v>
      </c>
      <c r="J5" s="54">
        <f>COUNTIF($D$2:$D$57,H5)</f>
        <v>0</v>
      </c>
      <c r="K5" s="54"/>
      <c r="T5" s="48" t="s">
        <v>99</v>
      </c>
    </row>
    <row r="6" spans="1:20" ht="15" customHeight="1" x14ac:dyDescent="0.2">
      <c r="A6" s="48">
        <f t="shared" si="0"/>
        <v>5</v>
      </c>
      <c r="B6" s="49" t="s">
        <v>240</v>
      </c>
      <c r="C6" s="49" t="s">
        <v>82</v>
      </c>
      <c r="D6" s="56" t="s">
        <v>100</v>
      </c>
      <c r="E6" s="55">
        <f t="shared" si="1"/>
        <v>5</v>
      </c>
      <c r="G6" s="53" t="str">
        <f t="shared" si="2"/>
        <v>-Southern California</v>
      </c>
      <c r="H6" s="55" t="s">
        <v>249</v>
      </c>
      <c r="I6" s="54">
        <v>1</v>
      </c>
      <c r="J6" s="54">
        <f>COUNTIF($D$2:$D$57,H6)</f>
        <v>0</v>
      </c>
      <c r="K6" s="54"/>
      <c r="T6" s="48" t="s">
        <v>98</v>
      </c>
    </row>
    <row r="7" spans="1:20" s="59" customFormat="1" ht="15" customHeight="1" x14ac:dyDescent="0.2">
      <c r="A7" s="48">
        <f t="shared" si="0"/>
        <v>6</v>
      </c>
      <c r="B7" s="49" t="s">
        <v>13</v>
      </c>
      <c r="C7" s="49" t="s">
        <v>82</v>
      </c>
      <c r="D7" s="56" t="s">
        <v>98</v>
      </c>
      <c r="E7" s="55">
        <f t="shared" si="1"/>
        <v>6</v>
      </c>
      <c r="F7" s="49"/>
      <c r="G7" s="53" t="str">
        <f t="shared" si="2"/>
        <v>-Texas</v>
      </c>
      <c r="H7" s="55" t="s">
        <v>252</v>
      </c>
      <c r="I7" s="57">
        <v>1</v>
      </c>
      <c r="J7" s="54">
        <f>COUNTIF($D$2:$D$57,H7)</f>
        <v>0</v>
      </c>
      <c r="K7" s="57"/>
      <c r="L7" s="58"/>
      <c r="M7" s="58"/>
      <c r="N7" s="58"/>
      <c r="O7" s="58"/>
      <c r="T7" s="59" t="s">
        <v>100</v>
      </c>
    </row>
    <row r="8" spans="1:20" ht="15" customHeight="1" x14ac:dyDescent="0.2">
      <c r="A8" s="48">
        <f t="shared" si="0"/>
        <v>7</v>
      </c>
      <c r="B8" s="56" t="s">
        <v>14</v>
      </c>
      <c r="C8" s="49" t="s">
        <v>82</v>
      </c>
      <c r="D8" s="49" t="s">
        <v>100</v>
      </c>
      <c r="E8" s="55">
        <f t="shared" si="1"/>
        <v>7</v>
      </c>
      <c r="G8" s="53" t="str">
        <f>H8</f>
        <v>Acura</v>
      </c>
      <c r="H8" s="55" t="s">
        <v>55</v>
      </c>
      <c r="I8" s="54">
        <v>2</v>
      </c>
      <c r="J8" s="54">
        <f t="shared" ref="J8:J13" si="3">COUNTIF($C$2:$C$57,H8)</f>
        <v>0</v>
      </c>
      <c r="K8" s="54"/>
      <c r="T8" s="48" t="s">
        <v>102</v>
      </c>
    </row>
    <row r="9" spans="1:20" ht="15" customHeight="1" x14ac:dyDescent="0.2">
      <c r="A9" s="48">
        <f t="shared" si="0"/>
        <v>8</v>
      </c>
      <c r="B9" s="49" t="s">
        <v>275</v>
      </c>
      <c r="C9" s="49" t="s">
        <v>82</v>
      </c>
      <c r="D9" s="56" t="s">
        <v>102</v>
      </c>
      <c r="E9" s="55">
        <f t="shared" si="1"/>
        <v>8</v>
      </c>
      <c r="G9" s="53" t="str">
        <f t="shared" ref="G9:G12" si="4">H9</f>
        <v>Audi</v>
      </c>
      <c r="H9" s="55" t="s">
        <v>56</v>
      </c>
      <c r="I9" s="54">
        <v>2</v>
      </c>
      <c r="J9" s="54">
        <f t="shared" si="3"/>
        <v>0</v>
      </c>
      <c r="K9" s="54"/>
      <c r="T9" s="48" t="s">
        <v>98</v>
      </c>
    </row>
    <row r="10" spans="1:20" ht="15" customHeight="1" x14ac:dyDescent="0.2">
      <c r="A10" s="48">
        <f t="shared" si="0"/>
        <v>9</v>
      </c>
      <c r="B10" s="49" t="s">
        <v>15</v>
      </c>
      <c r="C10" s="49" t="s">
        <v>83</v>
      </c>
      <c r="D10" s="49" t="s">
        <v>98</v>
      </c>
      <c r="E10" s="55">
        <f t="shared" si="1"/>
        <v>9</v>
      </c>
      <c r="G10" s="53" t="str">
        <f t="shared" si="4"/>
        <v>Bentley</v>
      </c>
      <c r="H10" s="55" t="s">
        <v>57</v>
      </c>
      <c r="I10" s="54">
        <v>2</v>
      </c>
      <c r="J10" s="54">
        <f t="shared" si="3"/>
        <v>0</v>
      </c>
      <c r="K10" s="54"/>
      <c r="T10" s="48" t="s">
        <v>98</v>
      </c>
    </row>
    <row r="11" spans="1:20" ht="15" customHeight="1" x14ac:dyDescent="0.2">
      <c r="A11" s="48">
        <f t="shared" si="0"/>
        <v>10</v>
      </c>
      <c r="B11" s="49" t="s">
        <v>16</v>
      </c>
      <c r="C11" s="49" t="s">
        <v>84</v>
      </c>
      <c r="D11" s="49" t="s">
        <v>98</v>
      </c>
      <c r="E11" s="55">
        <f t="shared" si="1"/>
        <v>10</v>
      </c>
      <c r="G11" s="53" t="str">
        <f t="shared" si="4"/>
        <v>BMW</v>
      </c>
      <c r="H11" s="55" t="s">
        <v>58</v>
      </c>
      <c r="I11" s="54">
        <v>2</v>
      </c>
      <c r="J11" s="54">
        <f t="shared" si="3"/>
        <v>0</v>
      </c>
      <c r="K11" s="54"/>
      <c r="T11" s="48" t="s">
        <v>101</v>
      </c>
    </row>
    <row r="12" spans="1:20" ht="15" customHeight="1" x14ac:dyDescent="0.2">
      <c r="A12" s="48">
        <f t="shared" si="0"/>
        <v>11</v>
      </c>
      <c r="B12" s="49" t="s">
        <v>17</v>
      </c>
      <c r="C12" s="49" t="s">
        <v>84</v>
      </c>
      <c r="D12" s="49" t="s">
        <v>101</v>
      </c>
      <c r="E12" s="55">
        <f t="shared" si="1"/>
        <v>11</v>
      </c>
      <c r="G12" s="53" t="str">
        <f t="shared" si="4"/>
        <v>Ferrari</v>
      </c>
      <c r="H12" s="55" t="s">
        <v>253</v>
      </c>
      <c r="I12" s="54">
        <v>2</v>
      </c>
      <c r="J12" s="54">
        <f t="shared" si="3"/>
        <v>0</v>
      </c>
      <c r="K12" s="54"/>
      <c r="T12" s="48" t="s">
        <v>100</v>
      </c>
    </row>
    <row r="13" spans="1:20" ht="15" customHeight="1" x14ac:dyDescent="0.2">
      <c r="A13" s="48">
        <f t="shared" si="0"/>
        <v>12</v>
      </c>
      <c r="B13" s="49" t="s">
        <v>267</v>
      </c>
      <c r="C13" s="49" t="s">
        <v>84</v>
      </c>
      <c r="D13" s="49" t="s">
        <v>99</v>
      </c>
      <c r="E13" s="55">
        <f t="shared" si="1"/>
        <v>12</v>
      </c>
      <c r="G13" s="53" t="s">
        <v>265</v>
      </c>
      <c r="H13" s="53" t="s">
        <v>265</v>
      </c>
      <c r="I13" s="54">
        <v>2</v>
      </c>
      <c r="J13" s="54">
        <f t="shared" si="3"/>
        <v>0</v>
      </c>
      <c r="K13" s="54"/>
      <c r="T13" s="48" t="s">
        <v>99</v>
      </c>
    </row>
    <row r="14" spans="1:20" ht="15" customHeight="1" x14ac:dyDescent="0.2">
      <c r="A14" s="48">
        <f t="shared" si="0"/>
        <v>13</v>
      </c>
      <c r="B14" s="49" t="s">
        <v>18</v>
      </c>
      <c r="C14" s="49" t="s">
        <v>84</v>
      </c>
      <c r="D14" s="49" t="s">
        <v>100</v>
      </c>
      <c r="E14" s="55">
        <f t="shared" si="1"/>
        <v>13</v>
      </c>
      <c r="G14" s="53" t="str">
        <f t="shared" ref="G14:G16" si="5">H14</f>
        <v>Honda</v>
      </c>
      <c r="H14" s="55" t="s">
        <v>59</v>
      </c>
      <c r="I14" s="54">
        <v>2</v>
      </c>
      <c r="J14" s="54">
        <f t="shared" ref="J14:J25" si="6">COUNTIF($C$2:$C$57,H14)</f>
        <v>0</v>
      </c>
      <c r="K14" s="54"/>
      <c r="T14" s="48" t="s">
        <v>102</v>
      </c>
    </row>
    <row r="15" spans="1:20" ht="15" customHeight="1" x14ac:dyDescent="0.2">
      <c r="A15" s="48">
        <f t="shared" si="0"/>
        <v>14</v>
      </c>
      <c r="B15" s="49" t="s">
        <v>19</v>
      </c>
      <c r="C15" s="49" t="s">
        <v>84</v>
      </c>
      <c r="D15" s="49" t="s">
        <v>99</v>
      </c>
      <c r="E15" s="55">
        <f t="shared" si="1"/>
        <v>14</v>
      </c>
      <c r="G15" s="53" t="str">
        <f t="shared" si="5"/>
        <v>Hyundai</v>
      </c>
      <c r="H15" s="55" t="s">
        <v>60</v>
      </c>
      <c r="I15" s="54">
        <v>2</v>
      </c>
      <c r="J15" s="54">
        <f t="shared" si="6"/>
        <v>0</v>
      </c>
      <c r="K15" s="54"/>
      <c r="T15" s="48" t="s">
        <v>100</v>
      </c>
    </row>
    <row r="16" spans="1:20" ht="15" customHeight="1" x14ac:dyDescent="0.2">
      <c r="A16" s="48">
        <f t="shared" si="0"/>
        <v>15</v>
      </c>
      <c r="B16" s="49" t="s">
        <v>262</v>
      </c>
      <c r="C16" s="49" t="s">
        <v>81</v>
      </c>
      <c r="D16" s="49" t="s">
        <v>102</v>
      </c>
      <c r="E16" s="55">
        <f t="shared" si="1"/>
        <v>15</v>
      </c>
      <c r="G16" s="53" t="str">
        <f t="shared" si="5"/>
        <v>JLR</v>
      </c>
      <c r="H16" s="55" t="s">
        <v>254</v>
      </c>
      <c r="I16" s="54">
        <v>2</v>
      </c>
      <c r="J16" s="54">
        <f t="shared" si="6"/>
        <v>0</v>
      </c>
      <c r="K16" s="54"/>
      <c r="T16" s="48" t="s">
        <v>100</v>
      </c>
    </row>
    <row r="17" spans="1:20" ht="15" customHeight="1" x14ac:dyDescent="0.2">
      <c r="A17" s="48">
        <f t="shared" si="0"/>
        <v>16</v>
      </c>
      <c r="B17" s="49" t="s">
        <v>22</v>
      </c>
      <c r="C17" s="49" t="s">
        <v>85</v>
      </c>
      <c r="D17" s="49" t="s">
        <v>102</v>
      </c>
      <c r="E17" s="55">
        <f t="shared" si="1"/>
        <v>16</v>
      </c>
      <c r="G17" s="55" t="s">
        <v>284</v>
      </c>
      <c r="H17" s="55" t="s">
        <v>284</v>
      </c>
      <c r="I17" s="54">
        <v>2</v>
      </c>
      <c r="J17" s="54">
        <f t="shared" si="6"/>
        <v>0</v>
      </c>
      <c r="K17" s="54"/>
      <c r="T17" s="48" t="s">
        <v>102</v>
      </c>
    </row>
    <row r="18" spans="1:20" ht="15" customHeight="1" x14ac:dyDescent="0.2">
      <c r="A18" s="48">
        <f t="shared" si="0"/>
        <v>17</v>
      </c>
      <c r="B18" s="49" t="s">
        <v>20</v>
      </c>
      <c r="C18" s="49" t="s">
        <v>84</v>
      </c>
      <c r="D18" s="49" t="s">
        <v>100</v>
      </c>
      <c r="E18" s="55">
        <f t="shared" si="1"/>
        <v>17</v>
      </c>
      <c r="G18" s="53" t="str">
        <f t="shared" ref="G18:G26" si="7">H18</f>
        <v>Lexus</v>
      </c>
      <c r="H18" s="55" t="s">
        <v>61</v>
      </c>
      <c r="I18" s="54">
        <v>2</v>
      </c>
      <c r="J18" s="54">
        <f t="shared" si="6"/>
        <v>0</v>
      </c>
      <c r="K18" s="54"/>
      <c r="T18" s="48" t="s">
        <v>99</v>
      </c>
    </row>
    <row r="19" spans="1:20" ht="15" customHeight="1" x14ac:dyDescent="0.2">
      <c r="A19" s="48">
        <f t="shared" si="0"/>
        <v>18</v>
      </c>
      <c r="B19" s="49" t="s">
        <v>37</v>
      </c>
      <c r="C19" s="49" t="s">
        <v>86</v>
      </c>
      <c r="D19" s="49" t="s">
        <v>100</v>
      </c>
      <c r="E19" s="55">
        <f t="shared" si="1"/>
        <v>18</v>
      </c>
      <c r="G19" s="53" t="str">
        <f t="shared" si="7"/>
        <v>Lincoln</v>
      </c>
      <c r="H19" s="55" t="s">
        <v>62</v>
      </c>
      <c r="I19" s="54">
        <v>2</v>
      </c>
      <c r="J19" s="54">
        <f t="shared" si="6"/>
        <v>0</v>
      </c>
      <c r="K19" s="54"/>
      <c r="T19" s="48" t="s">
        <v>101</v>
      </c>
    </row>
    <row r="20" spans="1:20" ht="15" customHeight="1" x14ac:dyDescent="0.2">
      <c r="A20" s="48">
        <f t="shared" si="0"/>
        <v>19</v>
      </c>
      <c r="B20" s="49" t="s">
        <v>263</v>
      </c>
      <c r="C20" s="60" t="s">
        <v>264</v>
      </c>
      <c r="D20" s="49" t="s">
        <v>101</v>
      </c>
      <c r="E20" s="55">
        <f t="shared" si="1"/>
        <v>19</v>
      </c>
      <c r="G20" s="53" t="str">
        <f t="shared" si="7"/>
        <v>Mazda</v>
      </c>
      <c r="H20" s="55" t="s">
        <v>63</v>
      </c>
      <c r="I20" s="54">
        <v>2</v>
      </c>
      <c r="J20" s="54">
        <f t="shared" si="6"/>
        <v>0</v>
      </c>
      <c r="K20" s="54"/>
      <c r="T20" s="48" t="s">
        <v>98</v>
      </c>
    </row>
    <row r="21" spans="1:20" ht="15" customHeight="1" x14ac:dyDescent="0.2">
      <c r="A21" s="48">
        <f t="shared" si="0"/>
        <v>20</v>
      </c>
      <c r="B21" s="49" t="s">
        <v>239</v>
      </c>
      <c r="C21" s="60" t="s">
        <v>85</v>
      </c>
      <c r="D21" s="49" t="s">
        <v>101</v>
      </c>
      <c r="E21" s="55">
        <f t="shared" si="1"/>
        <v>20</v>
      </c>
      <c r="G21" s="53" t="str">
        <f t="shared" si="7"/>
        <v>Mercedes-Benz</v>
      </c>
      <c r="H21" s="55" t="s">
        <v>64</v>
      </c>
      <c r="I21" s="54">
        <v>2</v>
      </c>
      <c r="J21" s="54">
        <f t="shared" si="6"/>
        <v>0</v>
      </c>
      <c r="K21" s="54"/>
      <c r="T21" s="48" t="s">
        <v>98</v>
      </c>
    </row>
    <row r="22" spans="1:20" ht="15" customHeight="1" x14ac:dyDescent="0.2">
      <c r="A22" s="48">
        <f t="shared" si="0"/>
        <v>21</v>
      </c>
      <c r="B22" s="49" t="s">
        <v>23</v>
      </c>
      <c r="C22" s="60" t="s">
        <v>85</v>
      </c>
      <c r="D22" s="49" t="s">
        <v>102</v>
      </c>
      <c r="E22" s="55">
        <f t="shared" si="1"/>
        <v>21</v>
      </c>
      <c r="G22" s="53" t="str">
        <f t="shared" si="7"/>
        <v>MINI</v>
      </c>
      <c r="H22" s="61" t="s">
        <v>65</v>
      </c>
      <c r="I22" s="54">
        <v>2</v>
      </c>
      <c r="J22" s="54">
        <f t="shared" si="6"/>
        <v>0</v>
      </c>
      <c r="K22" s="54"/>
      <c r="T22" s="48" t="s">
        <v>99</v>
      </c>
    </row>
    <row r="23" spans="1:20" ht="15" customHeight="1" x14ac:dyDescent="0.2">
      <c r="A23" s="48">
        <f t="shared" si="0"/>
        <v>22</v>
      </c>
      <c r="B23" s="49" t="s">
        <v>24</v>
      </c>
      <c r="C23" s="49" t="s">
        <v>85</v>
      </c>
      <c r="D23" s="49" t="s">
        <v>99</v>
      </c>
      <c r="E23" s="55">
        <f t="shared" si="1"/>
        <v>22</v>
      </c>
      <c r="G23" s="53" t="str">
        <f t="shared" si="7"/>
        <v>Porsche</v>
      </c>
      <c r="H23" s="55" t="s">
        <v>66</v>
      </c>
      <c r="I23" s="54">
        <v>2</v>
      </c>
      <c r="J23" s="54">
        <f t="shared" si="6"/>
        <v>0</v>
      </c>
      <c r="K23" s="54"/>
      <c r="T23" s="48" t="s">
        <v>99</v>
      </c>
    </row>
    <row r="24" spans="1:20" ht="15" customHeight="1" x14ac:dyDescent="0.2">
      <c r="A24" s="48">
        <f t="shared" si="0"/>
        <v>23</v>
      </c>
      <c r="B24" s="49" t="s">
        <v>27</v>
      </c>
      <c r="C24" s="49" t="s">
        <v>87</v>
      </c>
      <c r="D24" s="49" t="s">
        <v>101</v>
      </c>
      <c r="E24" s="55">
        <f t="shared" si="1"/>
        <v>23</v>
      </c>
      <c r="G24" s="53" t="str">
        <f t="shared" si="7"/>
        <v>Subaru</v>
      </c>
      <c r="H24" s="55" t="s">
        <v>68</v>
      </c>
      <c r="I24" s="54">
        <v>2</v>
      </c>
      <c r="J24" s="54">
        <f t="shared" si="6"/>
        <v>0</v>
      </c>
      <c r="K24" s="54"/>
      <c r="T24" s="48" t="s">
        <v>101</v>
      </c>
    </row>
    <row r="25" spans="1:20" ht="15" customHeight="1" x14ac:dyDescent="0.2">
      <c r="A25" s="48">
        <f t="shared" si="0"/>
        <v>24</v>
      </c>
      <c r="B25" s="49" t="s">
        <v>73</v>
      </c>
      <c r="C25" s="49" t="s">
        <v>81</v>
      </c>
      <c r="D25" s="49" t="s">
        <v>99</v>
      </c>
      <c r="E25" s="55">
        <f t="shared" si="1"/>
        <v>24</v>
      </c>
      <c r="G25" s="53" t="str">
        <f t="shared" si="7"/>
        <v>Toyota</v>
      </c>
      <c r="H25" s="55" t="s">
        <v>69</v>
      </c>
      <c r="I25" s="54">
        <v>2</v>
      </c>
      <c r="J25" s="54">
        <f t="shared" si="6"/>
        <v>0</v>
      </c>
      <c r="T25" s="48" t="s">
        <v>98</v>
      </c>
    </row>
    <row r="26" spans="1:20" ht="15" customHeight="1" x14ac:dyDescent="0.2">
      <c r="A26" s="48">
        <f t="shared" si="0"/>
        <v>25</v>
      </c>
      <c r="B26" s="49" t="s">
        <v>49</v>
      </c>
      <c r="C26" s="49" t="s">
        <v>88</v>
      </c>
      <c r="D26" s="49" t="s">
        <v>99</v>
      </c>
      <c r="E26" s="55">
        <f t="shared" si="1"/>
        <v>25</v>
      </c>
      <c r="G26" s="53" t="str">
        <f t="shared" si="7"/>
        <v>Volkswagen</v>
      </c>
      <c r="H26" s="55" t="s">
        <v>70</v>
      </c>
      <c r="T26" s="48" t="s">
        <v>101</v>
      </c>
    </row>
    <row r="27" spans="1:20" ht="15" customHeight="1" x14ac:dyDescent="0.2">
      <c r="A27" s="48">
        <f t="shared" si="0"/>
        <v>26</v>
      </c>
      <c r="B27" s="49" t="s">
        <v>278</v>
      </c>
      <c r="C27" s="49" t="s">
        <v>283</v>
      </c>
      <c r="D27" s="49" t="s">
        <v>98</v>
      </c>
      <c r="E27" s="55">
        <f t="shared" si="1"/>
        <v>26</v>
      </c>
      <c r="T27" s="48" t="s">
        <v>99</v>
      </c>
    </row>
    <row r="28" spans="1:20" ht="15" customHeight="1" x14ac:dyDescent="0.2">
      <c r="A28" s="48">
        <f t="shared" si="0"/>
        <v>27</v>
      </c>
      <c r="B28" s="49" t="s">
        <v>261</v>
      </c>
      <c r="C28" s="49" t="s">
        <v>97</v>
      </c>
      <c r="D28" s="49" t="s">
        <v>98</v>
      </c>
      <c r="E28" s="55">
        <f t="shared" ref="E28:E57" si="8">A28</f>
        <v>27</v>
      </c>
      <c r="T28" s="48" t="s">
        <v>100</v>
      </c>
    </row>
    <row r="29" spans="1:20" ht="15" customHeight="1" x14ac:dyDescent="0.2">
      <c r="A29" s="48">
        <f t="shared" si="0"/>
        <v>28</v>
      </c>
      <c r="B29" s="49" t="s">
        <v>260</v>
      </c>
      <c r="C29" s="49" t="s">
        <v>97</v>
      </c>
      <c r="D29" s="49" t="s">
        <v>98</v>
      </c>
      <c r="E29" s="55">
        <f t="shared" si="8"/>
        <v>28</v>
      </c>
      <c r="T29" s="48" t="s">
        <v>102</v>
      </c>
    </row>
    <row r="30" spans="1:20" ht="15" customHeight="1" x14ac:dyDescent="0.2">
      <c r="A30" s="48">
        <f t="shared" si="0"/>
        <v>29</v>
      </c>
      <c r="B30" s="49" t="s">
        <v>29</v>
      </c>
      <c r="C30" s="49" t="s">
        <v>96</v>
      </c>
      <c r="D30" s="49" t="s">
        <v>101</v>
      </c>
      <c r="E30" s="55">
        <f t="shared" si="8"/>
        <v>29</v>
      </c>
      <c r="T30" s="48" t="s">
        <v>102</v>
      </c>
    </row>
    <row r="31" spans="1:20" ht="15" customHeight="1" x14ac:dyDescent="0.2">
      <c r="A31" s="48">
        <f t="shared" si="0"/>
        <v>30</v>
      </c>
      <c r="B31" s="49" t="s">
        <v>30</v>
      </c>
      <c r="C31" s="49" t="s">
        <v>96</v>
      </c>
      <c r="D31" s="49" t="s">
        <v>98</v>
      </c>
      <c r="E31" s="55">
        <f t="shared" si="8"/>
        <v>30</v>
      </c>
      <c r="T31" s="48" t="s">
        <v>99</v>
      </c>
    </row>
    <row r="32" spans="1:20" ht="15" customHeight="1" x14ac:dyDescent="0.2">
      <c r="A32" s="48">
        <f t="shared" si="0"/>
        <v>31</v>
      </c>
      <c r="B32" s="49" t="s">
        <v>31</v>
      </c>
      <c r="C32" s="49" t="s">
        <v>96</v>
      </c>
      <c r="D32" s="49" t="s">
        <v>101</v>
      </c>
      <c r="E32" s="55">
        <f t="shared" si="8"/>
        <v>31</v>
      </c>
      <c r="T32" s="48" t="s">
        <v>98</v>
      </c>
    </row>
    <row r="33" spans="1:20" ht="15" customHeight="1" x14ac:dyDescent="0.2">
      <c r="A33" s="48">
        <f t="shared" si="0"/>
        <v>32</v>
      </c>
      <c r="B33" s="49" t="s">
        <v>32</v>
      </c>
      <c r="C33" s="49" t="s">
        <v>96</v>
      </c>
      <c r="D33" s="49" t="s">
        <v>99</v>
      </c>
      <c r="E33" s="55">
        <f t="shared" si="8"/>
        <v>32</v>
      </c>
      <c r="T33" s="48" t="s">
        <v>99</v>
      </c>
    </row>
    <row r="34" spans="1:20" s="63" customFormat="1" ht="15" customHeight="1" x14ac:dyDescent="0.2">
      <c r="A34" s="48">
        <f t="shared" si="0"/>
        <v>33</v>
      </c>
      <c r="B34" s="49" t="s">
        <v>33</v>
      </c>
      <c r="C34" s="49" t="s">
        <v>95</v>
      </c>
      <c r="D34" s="49" t="s">
        <v>100</v>
      </c>
      <c r="E34" s="55">
        <f t="shared" si="8"/>
        <v>33</v>
      </c>
      <c r="F34" s="49"/>
      <c r="G34" s="60"/>
      <c r="H34" s="50"/>
      <c r="I34" s="62"/>
      <c r="J34" s="62"/>
      <c r="K34" s="62"/>
      <c r="L34" s="62"/>
      <c r="M34" s="62"/>
      <c r="N34" s="62"/>
      <c r="O34" s="62"/>
      <c r="T34" s="63" t="s">
        <v>98</v>
      </c>
    </row>
    <row r="35" spans="1:20" ht="15" customHeight="1" x14ac:dyDescent="0.2">
      <c r="A35" s="48">
        <f t="shared" si="0"/>
        <v>34</v>
      </c>
      <c r="B35" s="49" t="s">
        <v>34</v>
      </c>
      <c r="C35" s="49" t="s">
        <v>94</v>
      </c>
      <c r="D35" s="49" t="s">
        <v>99</v>
      </c>
      <c r="E35" s="55">
        <f t="shared" si="8"/>
        <v>34</v>
      </c>
      <c r="T35" s="48" t="s">
        <v>101</v>
      </c>
    </row>
    <row r="36" spans="1:20" ht="15" customHeight="1" x14ac:dyDescent="0.2">
      <c r="A36" s="48">
        <f t="shared" si="0"/>
        <v>35</v>
      </c>
      <c r="B36" s="49" t="s">
        <v>35</v>
      </c>
      <c r="C36" s="49" t="s">
        <v>93</v>
      </c>
      <c r="D36" s="49" t="s">
        <v>98</v>
      </c>
      <c r="E36" s="55">
        <f t="shared" si="8"/>
        <v>35</v>
      </c>
      <c r="T36" s="48" t="s">
        <v>102</v>
      </c>
    </row>
    <row r="37" spans="1:20" ht="15" customHeight="1" x14ac:dyDescent="0.2">
      <c r="A37" s="48">
        <f t="shared" si="0"/>
        <v>36</v>
      </c>
      <c r="B37" s="60" t="s">
        <v>270</v>
      </c>
      <c r="C37" s="49" t="s">
        <v>93</v>
      </c>
      <c r="D37" s="49" t="s">
        <v>98</v>
      </c>
      <c r="E37" s="55">
        <f t="shared" si="8"/>
        <v>36</v>
      </c>
      <c r="T37" s="48" t="s">
        <v>100</v>
      </c>
    </row>
    <row r="38" spans="1:20" ht="15" customHeight="1" x14ac:dyDescent="0.2">
      <c r="A38" s="48">
        <f t="shared" si="0"/>
        <v>37</v>
      </c>
      <c r="B38" s="49" t="s">
        <v>36</v>
      </c>
      <c r="C38" s="49" t="s">
        <v>93</v>
      </c>
      <c r="D38" s="49" t="s">
        <v>99</v>
      </c>
      <c r="E38" s="55">
        <f t="shared" si="8"/>
        <v>37</v>
      </c>
      <c r="T38" s="48" t="s">
        <v>99</v>
      </c>
    </row>
    <row r="39" spans="1:20" ht="15" customHeight="1" x14ac:dyDescent="0.2">
      <c r="A39" s="48">
        <f t="shared" si="0"/>
        <v>38</v>
      </c>
      <c r="B39" s="60" t="s">
        <v>38</v>
      </c>
      <c r="C39" s="60" t="s">
        <v>86</v>
      </c>
      <c r="D39" s="60" t="s">
        <v>98</v>
      </c>
      <c r="E39" s="55">
        <f t="shared" si="8"/>
        <v>38</v>
      </c>
      <c r="T39" s="48" t="s">
        <v>98</v>
      </c>
    </row>
    <row r="40" spans="1:20" ht="15" customHeight="1" x14ac:dyDescent="0.2">
      <c r="A40" s="48">
        <f t="shared" si="0"/>
        <v>39</v>
      </c>
      <c r="B40" s="49" t="s">
        <v>39</v>
      </c>
      <c r="C40" s="49" t="s">
        <v>86</v>
      </c>
      <c r="D40" s="49" t="s">
        <v>101</v>
      </c>
      <c r="E40" s="55">
        <f t="shared" si="8"/>
        <v>39</v>
      </c>
      <c r="T40" s="48" t="s">
        <v>102</v>
      </c>
    </row>
    <row r="41" spans="1:20" ht="15" customHeight="1" x14ac:dyDescent="0.2">
      <c r="A41" s="48">
        <f t="shared" si="0"/>
        <v>40</v>
      </c>
      <c r="B41" s="49" t="s">
        <v>40</v>
      </c>
      <c r="C41" s="60" t="s">
        <v>86</v>
      </c>
      <c r="D41" s="49" t="s">
        <v>102</v>
      </c>
      <c r="E41" s="55">
        <f t="shared" si="8"/>
        <v>40</v>
      </c>
      <c r="T41" s="48" t="s">
        <v>98</v>
      </c>
    </row>
    <row r="42" spans="1:20" ht="15" customHeight="1" x14ac:dyDescent="0.2">
      <c r="A42" s="48">
        <f t="shared" si="0"/>
        <v>41</v>
      </c>
      <c r="B42" s="49" t="s">
        <v>41</v>
      </c>
      <c r="C42" s="60" t="s">
        <v>86</v>
      </c>
      <c r="D42" s="49" t="s">
        <v>100</v>
      </c>
      <c r="E42" s="55">
        <f t="shared" si="8"/>
        <v>41</v>
      </c>
      <c r="T42" s="48" t="s">
        <v>102</v>
      </c>
    </row>
    <row r="43" spans="1:20" ht="15" customHeight="1" x14ac:dyDescent="0.2">
      <c r="A43" s="48">
        <f t="shared" si="0"/>
        <v>42</v>
      </c>
      <c r="B43" s="49" t="s">
        <v>42</v>
      </c>
      <c r="C43" s="60" t="s">
        <v>86</v>
      </c>
      <c r="D43" s="49" t="s">
        <v>99</v>
      </c>
      <c r="E43" s="55">
        <f t="shared" si="8"/>
        <v>42</v>
      </c>
      <c r="T43" s="48" t="s">
        <v>101</v>
      </c>
    </row>
    <row r="44" spans="1:20" ht="15" customHeight="1" x14ac:dyDescent="0.2">
      <c r="A44" s="48">
        <f t="shared" si="0"/>
        <v>43</v>
      </c>
      <c r="B44" s="49" t="s">
        <v>43</v>
      </c>
      <c r="C44" s="60" t="s">
        <v>86</v>
      </c>
      <c r="D44" s="49" t="s">
        <v>98</v>
      </c>
      <c r="E44" s="55">
        <f t="shared" si="8"/>
        <v>43</v>
      </c>
      <c r="T44" s="48" t="s">
        <v>101</v>
      </c>
    </row>
    <row r="45" spans="1:20" ht="15" customHeight="1" x14ac:dyDescent="0.2">
      <c r="A45" s="48">
        <f t="shared" si="0"/>
        <v>44</v>
      </c>
      <c r="B45" s="49" t="s">
        <v>21</v>
      </c>
      <c r="C45" s="49" t="s">
        <v>84</v>
      </c>
      <c r="D45" s="49" t="s">
        <v>102</v>
      </c>
      <c r="E45" s="55">
        <f t="shared" si="8"/>
        <v>44</v>
      </c>
      <c r="T45" s="48" t="s">
        <v>101</v>
      </c>
    </row>
    <row r="46" spans="1:20" ht="15" customHeight="1" x14ac:dyDescent="0.2">
      <c r="A46" s="48">
        <f t="shared" si="0"/>
        <v>45</v>
      </c>
      <c r="B46" s="49" t="s">
        <v>44</v>
      </c>
      <c r="C46" s="60" t="s">
        <v>92</v>
      </c>
      <c r="D46" s="49" t="s">
        <v>98</v>
      </c>
      <c r="E46" s="55">
        <f t="shared" si="8"/>
        <v>45</v>
      </c>
      <c r="T46" s="48" t="s">
        <v>98</v>
      </c>
    </row>
    <row r="47" spans="1:20" ht="15" customHeight="1" x14ac:dyDescent="0.2">
      <c r="A47" s="48">
        <f t="shared" si="0"/>
        <v>46</v>
      </c>
      <c r="B47" s="49" t="s">
        <v>45</v>
      </c>
      <c r="C47" s="49" t="s">
        <v>92</v>
      </c>
      <c r="D47" s="49" t="s">
        <v>102</v>
      </c>
      <c r="E47" s="55">
        <f t="shared" si="8"/>
        <v>46</v>
      </c>
      <c r="T47" s="48" t="s">
        <v>100</v>
      </c>
    </row>
    <row r="48" spans="1:20" ht="15" customHeight="1" x14ac:dyDescent="0.2">
      <c r="A48" s="48">
        <f t="shared" si="0"/>
        <v>47</v>
      </c>
      <c r="B48" s="49" t="s">
        <v>25</v>
      </c>
      <c r="C48" s="49" t="s">
        <v>85</v>
      </c>
      <c r="D48" s="49" t="s">
        <v>101</v>
      </c>
      <c r="E48" s="55">
        <f t="shared" si="8"/>
        <v>47</v>
      </c>
      <c r="T48" s="48" t="s">
        <v>98</v>
      </c>
    </row>
    <row r="49" spans="1:20" ht="15" customHeight="1" x14ac:dyDescent="0.2">
      <c r="A49" s="48">
        <f t="shared" si="0"/>
        <v>48</v>
      </c>
      <c r="B49" s="49" t="s">
        <v>28</v>
      </c>
      <c r="C49" s="49" t="s">
        <v>87</v>
      </c>
      <c r="D49" s="49" t="s">
        <v>101</v>
      </c>
      <c r="E49" s="55">
        <f t="shared" si="8"/>
        <v>48</v>
      </c>
      <c r="T49" s="48" t="s">
        <v>102</v>
      </c>
    </row>
    <row r="50" spans="1:20" ht="15" customHeight="1" x14ac:dyDescent="0.2">
      <c r="A50" s="48">
        <f t="shared" si="0"/>
        <v>49</v>
      </c>
      <c r="B50" s="49" t="s">
        <v>48</v>
      </c>
      <c r="C50" s="49" t="s">
        <v>88</v>
      </c>
      <c r="D50" s="49" t="s">
        <v>101</v>
      </c>
      <c r="E50" s="55">
        <f t="shared" si="8"/>
        <v>49</v>
      </c>
      <c r="T50" s="48" t="s">
        <v>101</v>
      </c>
    </row>
    <row r="51" spans="1:20" ht="15" customHeight="1" x14ac:dyDescent="0.2">
      <c r="A51" s="48">
        <f t="shared" si="0"/>
        <v>50</v>
      </c>
      <c r="B51" s="49" t="s">
        <v>46</v>
      </c>
      <c r="C51" s="49" t="s">
        <v>91</v>
      </c>
      <c r="D51" s="49" t="s">
        <v>98</v>
      </c>
      <c r="E51" s="55">
        <f t="shared" si="8"/>
        <v>50</v>
      </c>
      <c r="T51" s="48" t="s">
        <v>98</v>
      </c>
    </row>
    <row r="52" spans="1:20" ht="15" customHeight="1" x14ac:dyDescent="0.2">
      <c r="A52" s="48">
        <f t="shared" si="0"/>
        <v>51</v>
      </c>
      <c r="B52" s="49" t="s">
        <v>47</v>
      </c>
      <c r="C52" s="49" t="s">
        <v>90</v>
      </c>
      <c r="D52" s="49" t="s">
        <v>100</v>
      </c>
      <c r="E52" s="55">
        <f t="shared" si="8"/>
        <v>51</v>
      </c>
      <c r="T52" s="48" t="s">
        <v>98</v>
      </c>
    </row>
    <row r="53" spans="1:20" ht="15" customHeight="1" x14ac:dyDescent="0.2">
      <c r="A53" s="48">
        <f t="shared" si="0"/>
        <v>52</v>
      </c>
      <c r="B53" s="49" t="s">
        <v>26</v>
      </c>
      <c r="C53" s="49" t="s">
        <v>85</v>
      </c>
      <c r="D53" s="49" t="s">
        <v>98</v>
      </c>
      <c r="E53" s="55">
        <f t="shared" si="8"/>
        <v>52</v>
      </c>
      <c r="T53" s="48" t="s">
        <v>100</v>
      </c>
    </row>
    <row r="54" spans="1:20" x14ac:dyDescent="0.2">
      <c r="A54" s="48">
        <f t="shared" si="0"/>
        <v>53</v>
      </c>
      <c r="B54" s="49" t="s">
        <v>50</v>
      </c>
      <c r="C54" s="49" t="s">
        <v>88</v>
      </c>
      <c r="D54" s="49" t="s">
        <v>102</v>
      </c>
      <c r="E54" s="55">
        <f t="shared" si="8"/>
        <v>53</v>
      </c>
    </row>
    <row r="55" spans="1:20" x14ac:dyDescent="0.2">
      <c r="A55" s="48">
        <f t="shared" si="0"/>
        <v>54</v>
      </c>
      <c r="B55" s="49" t="s">
        <v>51</v>
      </c>
      <c r="C55" s="49" t="s">
        <v>88</v>
      </c>
      <c r="D55" s="49" t="s">
        <v>101</v>
      </c>
      <c r="E55" s="55">
        <f t="shared" si="8"/>
        <v>54</v>
      </c>
    </row>
    <row r="56" spans="1:20" x14ac:dyDescent="0.2">
      <c r="A56" s="48">
        <f t="shared" si="0"/>
        <v>55</v>
      </c>
      <c r="B56" s="49" t="s">
        <v>52</v>
      </c>
      <c r="C56" s="49" t="s">
        <v>88</v>
      </c>
      <c r="D56" s="49" t="s">
        <v>98</v>
      </c>
      <c r="E56" s="55">
        <f t="shared" si="8"/>
        <v>55</v>
      </c>
    </row>
    <row r="57" spans="1:20" x14ac:dyDescent="0.2">
      <c r="A57" s="48">
        <f t="shared" si="0"/>
        <v>56</v>
      </c>
      <c r="B57" s="49" t="s">
        <v>53</v>
      </c>
      <c r="C57" s="49" t="s">
        <v>89</v>
      </c>
      <c r="D57" s="49" t="s">
        <v>98</v>
      </c>
      <c r="E57" s="55">
        <f t="shared" si="8"/>
        <v>56</v>
      </c>
    </row>
    <row r="58" spans="1:20" x14ac:dyDescent="0.2">
      <c r="A58" s="48">
        <f t="shared" si="0"/>
        <v>57</v>
      </c>
      <c r="B58" s="49" t="s">
        <v>54</v>
      </c>
      <c r="C58" s="49" t="s">
        <v>89</v>
      </c>
      <c r="D58" s="49" t="s">
        <v>100</v>
      </c>
      <c r="E58" s="55">
        <v>57</v>
      </c>
    </row>
    <row r="59" spans="1:20" x14ac:dyDescent="0.2">
      <c r="A59" s="48">
        <f t="shared" si="0"/>
        <v>58</v>
      </c>
      <c r="E59" s="55"/>
    </row>
    <row r="60" spans="1:20" x14ac:dyDescent="0.2">
      <c r="A60" s="48">
        <f t="shared" si="0"/>
        <v>59</v>
      </c>
    </row>
    <row r="61" spans="1:20" x14ac:dyDescent="0.2">
      <c r="A61" s="48">
        <f t="shared" si="0"/>
        <v>60</v>
      </c>
      <c r="B61" s="51"/>
      <c r="C61" s="51"/>
      <c r="D61" s="51"/>
    </row>
    <row r="69" spans="2:4" x14ac:dyDescent="0.2">
      <c r="B69" s="51"/>
      <c r="C69" s="51"/>
      <c r="D69" s="51"/>
    </row>
  </sheetData>
  <sortState xmlns:xlrd2="http://schemas.microsoft.com/office/spreadsheetml/2017/richdata2" ref="B2:D57">
    <sortCondition ref="B2:B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Force Rank</vt:lpstr>
      <vt:lpstr>Current Month By Brand</vt:lpstr>
      <vt:lpstr>WORKSHEET</vt:lpstr>
      <vt:lpstr>KEY</vt:lpstr>
      <vt:lpstr>'Current Month By Brand'!Print_Area</vt:lpstr>
    </vt:vector>
  </TitlesOfParts>
  <Company>Penske Automotive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Wiebe,Kala</dc:creator>
  <cp:lastModifiedBy>Ryan Scheffer</cp:lastModifiedBy>
  <cp:lastPrinted>2021-01-18T16:54:48Z</cp:lastPrinted>
  <dcterms:created xsi:type="dcterms:W3CDTF">2019-08-27T23:23:03Z</dcterms:created>
  <dcterms:modified xsi:type="dcterms:W3CDTF">2024-12-03T20:14:26Z</dcterms:modified>
</cp:coreProperties>
</file>